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VS\Paper\Revised submission\"/>
    </mc:Choice>
  </mc:AlternateContent>
  <xr:revisionPtr revIDLastSave="0" documentId="8_{D084B039-BEE8-4EB1-9780-E1BFC4489FF4}" xr6:coauthVersionLast="36" xr6:coauthVersionMax="36" xr10:uidLastSave="{00000000-0000-0000-0000-000000000000}"/>
  <bookViews>
    <workbookView xWindow="0" yWindow="500" windowWidth="28800" windowHeight="17500" xr2:uid="{816EE830-E76A-4A6B-9A25-26B3585447CF}"/>
  </bookViews>
  <sheets>
    <sheet name="Acute" sheetId="1" r:id="rId1"/>
    <sheet name="Elective" sheetId="2" r:id="rId2"/>
  </sheets>
  <definedNames>
    <definedName name="_xlnm._FilterDatabase" localSheetId="0" hidden="1">Acute!$A$1:$AE$20</definedName>
    <definedName name="_xlnm._FilterDatabase" localSheetId="1" hidden="1">Elective!$A$1:$AE$19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6" i="2" l="1"/>
  <c r="AC15" i="2"/>
  <c r="AC14" i="2"/>
  <c r="AC17" i="2"/>
  <c r="AC8" i="2"/>
  <c r="AC9" i="2"/>
  <c r="AC7" i="2"/>
  <c r="AC6" i="2"/>
  <c r="AC12" i="2"/>
  <c r="AC13" i="2"/>
  <c r="AC11" i="2"/>
  <c r="AC10" i="2"/>
  <c r="AC5" i="2"/>
  <c r="AC4" i="2"/>
  <c r="AC3" i="2"/>
  <c r="AC2" i="2"/>
  <c r="W16" i="2"/>
  <c r="W15" i="2"/>
  <c r="W14" i="2"/>
  <c r="W17" i="2"/>
  <c r="W12" i="2"/>
  <c r="W13" i="2"/>
  <c r="W11" i="2"/>
  <c r="W10" i="2"/>
  <c r="W8" i="2"/>
  <c r="W9" i="2"/>
  <c r="W7" i="2"/>
  <c r="W6" i="2"/>
  <c r="W5" i="2"/>
  <c r="W4" i="2"/>
  <c r="W3" i="2"/>
  <c r="W2" i="2"/>
  <c r="Q16" i="2"/>
  <c r="Q15" i="2"/>
  <c r="Q14" i="2"/>
  <c r="Q17" i="2"/>
  <c r="Q8" i="2"/>
  <c r="Q9" i="2"/>
  <c r="Q7" i="2"/>
  <c r="Q6" i="2"/>
  <c r="Q13" i="2"/>
  <c r="Q12" i="2"/>
  <c r="Q11" i="2"/>
  <c r="Q10" i="2"/>
  <c r="Q5" i="2"/>
  <c r="Q4" i="2"/>
  <c r="Q3" i="2"/>
  <c r="Q2" i="2"/>
  <c r="K16" i="2"/>
  <c r="K15" i="2"/>
  <c r="K14" i="2"/>
  <c r="K17" i="2"/>
  <c r="K8" i="2"/>
  <c r="K9" i="2"/>
  <c r="K7" i="2"/>
  <c r="K6" i="2"/>
  <c r="K13" i="2"/>
  <c r="K12" i="2"/>
  <c r="K11" i="2"/>
  <c r="K10" i="2"/>
  <c r="K5" i="2"/>
  <c r="K4" i="2"/>
  <c r="K3" i="2"/>
  <c r="K2" i="2"/>
  <c r="E3" i="2"/>
  <c r="E4" i="2"/>
  <c r="E5" i="2"/>
  <c r="E10" i="2"/>
  <c r="E11" i="2"/>
  <c r="E12" i="2"/>
  <c r="E13" i="2"/>
  <c r="E6" i="2"/>
  <c r="E7" i="2"/>
  <c r="E9" i="2"/>
  <c r="E8" i="2"/>
  <c r="E17" i="2"/>
  <c r="E14" i="2"/>
  <c r="E15" i="2"/>
  <c r="E16" i="2"/>
  <c r="E2" i="2"/>
  <c r="AC17" i="1" l="1"/>
  <c r="AC16" i="1"/>
  <c r="AC15" i="1"/>
  <c r="AC14" i="1"/>
  <c r="AC9" i="1"/>
  <c r="AC8" i="1"/>
  <c r="AC7" i="1"/>
  <c r="AC6" i="1"/>
  <c r="AC13" i="1"/>
  <c r="AC12" i="1"/>
  <c r="AC11" i="1"/>
  <c r="AC10" i="1"/>
  <c r="AC5" i="1"/>
  <c r="AC4" i="1"/>
  <c r="AC3" i="1"/>
  <c r="AC2" i="1"/>
  <c r="W17" i="1"/>
  <c r="W16" i="1"/>
  <c r="W15" i="1"/>
  <c r="W14" i="1"/>
  <c r="W9" i="1"/>
  <c r="W8" i="1"/>
  <c r="W7" i="1"/>
  <c r="W6" i="1"/>
  <c r="W13" i="1"/>
  <c r="W12" i="1"/>
  <c r="W11" i="1"/>
  <c r="W10" i="1"/>
  <c r="W5" i="1"/>
  <c r="W4" i="1"/>
  <c r="W3" i="1"/>
  <c r="W2" i="1"/>
  <c r="Q17" i="1"/>
  <c r="Q16" i="1"/>
  <c r="Q15" i="1"/>
  <c r="Q14" i="1"/>
  <c r="Q9" i="1"/>
  <c r="Q8" i="1"/>
  <c r="Q7" i="1"/>
  <c r="Q6" i="1"/>
  <c r="Q13" i="1"/>
  <c r="Q12" i="1"/>
  <c r="Q11" i="1"/>
  <c r="Q10" i="1"/>
  <c r="Q5" i="1"/>
  <c r="Q4" i="1"/>
  <c r="Q3" i="1"/>
  <c r="Q2" i="1"/>
  <c r="K17" i="1"/>
  <c r="K16" i="1"/>
  <c r="K15" i="1"/>
  <c r="K14" i="1"/>
  <c r="K9" i="1"/>
  <c r="K8" i="1"/>
  <c r="K7" i="1"/>
  <c r="K6" i="1"/>
  <c r="K13" i="1"/>
  <c r="K12" i="1"/>
  <c r="K11" i="1"/>
  <c r="K10" i="1"/>
  <c r="K5" i="1"/>
  <c r="K4" i="1"/>
  <c r="K3" i="1"/>
  <c r="K2" i="1"/>
  <c r="E3" i="1"/>
  <c r="E4" i="1"/>
  <c r="E5" i="1"/>
  <c r="E10" i="1"/>
  <c r="E11" i="1"/>
  <c r="E12" i="1"/>
  <c r="E13" i="1"/>
  <c r="E6" i="1"/>
  <c r="E7" i="1"/>
  <c r="E8" i="1"/>
  <c r="E9" i="1"/>
  <c r="E14" i="1"/>
  <c r="E15" i="1"/>
  <c r="E16" i="1"/>
  <c r="E17" i="1"/>
  <c r="E2" i="1"/>
</calcChain>
</file>

<file path=xl/sharedStrings.xml><?xml version="1.0" encoding="utf-8"?>
<sst xmlns="http://schemas.openxmlformats.org/spreadsheetml/2006/main" count="276" uniqueCount="68">
  <si>
    <t>ID</t>
  </si>
  <si>
    <t>Presentation</t>
  </si>
  <si>
    <t>Gender</t>
  </si>
  <si>
    <t>CVSA Test</t>
  </si>
  <si>
    <t>n-Training</t>
  </si>
  <si>
    <t>n-Test</t>
  </si>
  <si>
    <t>Retraction</t>
  </si>
  <si>
    <t>Inflammation Grade</t>
  </si>
  <si>
    <t>Elective</t>
  </si>
  <si>
    <t>Acute</t>
  </si>
  <si>
    <t>Age</t>
  </si>
  <si>
    <t>P(CVSA|Presentation Ո Gender)</t>
  </si>
  <si>
    <t>Female</t>
  </si>
  <si>
    <t>Male</t>
  </si>
  <si>
    <t>16-55</t>
  </si>
  <si>
    <t>55-67+</t>
  </si>
  <si>
    <t>Straightforward</t>
  </si>
  <si>
    <t>Difficult</t>
  </si>
  <si>
    <t>Simple</t>
  </si>
  <si>
    <t>Complex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</si>
  <si>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</si>
  <si>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</si>
  <si>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</si>
  <si>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</si>
  <si>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</si>
  <si>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</si>
  <si>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</si>
  <si>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</si>
  <si>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</si>
  <si>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</si>
  <si>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</si>
  <si>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</si>
  <si>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</si>
  <si>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</si>
  <si>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</si>
  <si>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</si>
  <si>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</si>
  <si>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</si>
  <si>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</si>
  <si>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</si>
  <si>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</si>
  <si>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</si>
  <si>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</si>
  <si>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</si>
  <si>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</si>
  <si>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</si>
  <si>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</si>
  <si>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</si>
  <si>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</si>
  <si>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</si>
  <si>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</si>
  <si>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</si>
  <si>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P(CVSA|Presentation)</t>
  </si>
  <si>
    <t>P(CVSA|Presentation Ո Gender Ո Age)</t>
  </si>
  <si>
    <t>P(CVSA|Presentation Ո Gender Ո Age Ո Retraction)</t>
  </si>
  <si>
    <t>P(CVSA|Presentation Ո Gender Ո Age Ո Retraction Ո Inflammation Grade)</t>
  </si>
  <si>
    <t>Key</t>
  </si>
  <si>
    <t>ID = Risk scenario</t>
  </si>
  <si>
    <t>CVSA = Critical view of safety achieved</t>
  </si>
  <si>
    <t>Test = Test data set results</t>
  </si>
  <si>
    <t>CVSA Model 3</t>
  </si>
  <si>
    <t>Model 3: with revised causal assumptions</t>
  </si>
  <si>
    <t>Model 1: without causal assumptions</t>
  </si>
  <si>
    <t>CVSA Model 1</t>
  </si>
  <si>
    <t>Model 2: without causal assumptions</t>
  </si>
  <si>
    <t>Model 4: with revised causal assumptions</t>
  </si>
  <si>
    <t>CVSA Model 2</t>
  </si>
  <si>
    <t>CVSA Model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</si>
</sst>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164" fontId="0" fillId="2" borderId="0" xfId="0" applyNumberForma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0" fillId="3" borderId="0" xfId="0" applyNumberForma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164" fontId="1" fillId="3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3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164" fontId="0" fillId="4" borderId="0" xfId="0" applyNumberFormat="1" applyFill="1" applyAlignment="1">
      <alignment horizontal="center" vertical="top" wrapText="1"/>
    </xf>
    <xf numFmtId="164" fontId="1" fillId="4" borderId="0" xfId="0" applyNumberFormat="1" applyFont="1" applyFill="1" applyAlignment="1">
      <alignment horizontal="center" vertical="top" wrapText="1"/>
    </xf>
    <xf numFmtId="164" fontId="0" fillId="3" borderId="0" xfId="0" applyNumberFormat="1" applyFill="1" applyAlignment="1">
      <alignment horizontal="center" vertical="top"/>
    </xf>
    <xf numFmtId="0" fontId="0" fillId="0" borderId="0" xfId="0" applyAlignment="1">
      <alignment horizontal="left" vertical="top"/>
    </xf>
    <xf numFmtId="164" fontId="4" fillId="4" borderId="0" xfId="0" applyNumberFormat="1" applyFont="1" applyFill="1" applyAlignment="1">
      <alignment horizontal="center" vertical="top" wrapText="1"/>
    </xf>
    <xf numFmtId="0" fontId="0" fillId="5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164" fontId="0" fillId="3" borderId="2" xfId="0" applyNumberFormat="1" applyFill="1" applyBorder="1" applyAlignment="1">
      <alignment horizontal="center" vertical="top" wrapText="1"/>
    </xf>
    <xf numFmtId="164" fontId="0" fillId="4" borderId="2" xfId="0" applyNumberForma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164" fontId="0" fillId="2" borderId="2" xfId="0" applyNumberForma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17</xdr:row>
      <xdr:rowOff>120015</xdr:rowOff>
    </xdr:from>
    <xdr:to>
      <xdr:col>3</xdr:col>
      <xdr:colOff>648311</xdr:colOff>
      <xdr:row>18</xdr:row>
      <xdr:rowOff>325657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F3B4F053-5CB2-4CA9-B230-6771E14B72A3}"/>
            </a:ext>
          </a:extLst>
        </xdr:cNvPr>
        <xdr:cNvSpPr/>
      </xdr:nvSpPr>
      <xdr:spPr>
        <a:xfrm>
          <a:off x="2078355" y="3377565"/>
          <a:ext cx="579731" cy="38661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10</xdr:col>
      <xdr:colOff>45720</xdr:colOff>
      <xdr:row>17</xdr:row>
      <xdr:rowOff>123825</xdr:rowOff>
    </xdr:from>
    <xdr:to>
      <xdr:col>10</xdr:col>
      <xdr:colOff>625451</xdr:colOff>
      <xdr:row>18</xdr:row>
      <xdr:rowOff>327562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A8BFF0B3-B29D-4408-8EF7-F1F3B0756D42}"/>
            </a:ext>
          </a:extLst>
        </xdr:cNvPr>
        <xdr:cNvSpPr/>
      </xdr:nvSpPr>
      <xdr:spPr>
        <a:xfrm>
          <a:off x="7179945" y="3381375"/>
          <a:ext cx="579731" cy="38471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17</xdr:col>
      <xdr:colOff>30480</xdr:colOff>
      <xdr:row>17</xdr:row>
      <xdr:rowOff>102870</xdr:rowOff>
    </xdr:from>
    <xdr:to>
      <xdr:col>17</xdr:col>
      <xdr:colOff>612116</xdr:colOff>
      <xdr:row>18</xdr:row>
      <xdr:rowOff>308512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5A84C3BC-9088-434E-BEE8-8D68CF8D249E}"/>
            </a:ext>
          </a:extLst>
        </xdr:cNvPr>
        <xdr:cNvSpPr/>
      </xdr:nvSpPr>
      <xdr:spPr>
        <a:xfrm>
          <a:off x="11698605" y="3360420"/>
          <a:ext cx="581636" cy="38661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23</xdr:col>
      <xdr:colOff>28575</xdr:colOff>
      <xdr:row>17</xdr:row>
      <xdr:rowOff>116205</xdr:rowOff>
    </xdr:from>
    <xdr:to>
      <xdr:col>23</xdr:col>
      <xdr:colOff>606401</xdr:colOff>
      <xdr:row>18</xdr:row>
      <xdr:rowOff>312322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1737ECCD-A061-43AB-A7A8-528F8AB91BE1}"/>
            </a:ext>
          </a:extLst>
        </xdr:cNvPr>
        <xdr:cNvSpPr/>
      </xdr:nvSpPr>
      <xdr:spPr>
        <a:xfrm>
          <a:off x="16278225" y="3373755"/>
          <a:ext cx="577826" cy="37709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17</xdr:row>
      <xdr:rowOff>120015</xdr:rowOff>
    </xdr:from>
    <xdr:to>
      <xdr:col>3</xdr:col>
      <xdr:colOff>648311</xdr:colOff>
      <xdr:row>18</xdr:row>
      <xdr:rowOff>325657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E5251870-3249-402D-95C5-6E4EFA84CB3D}"/>
            </a:ext>
          </a:extLst>
        </xdr:cNvPr>
        <xdr:cNvSpPr/>
      </xdr:nvSpPr>
      <xdr:spPr>
        <a:xfrm>
          <a:off x="1924050" y="3379470"/>
          <a:ext cx="581636" cy="3809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10</xdr:col>
      <xdr:colOff>45720</xdr:colOff>
      <xdr:row>17</xdr:row>
      <xdr:rowOff>123825</xdr:rowOff>
    </xdr:from>
    <xdr:to>
      <xdr:col>10</xdr:col>
      <xdr:colOff>625451</xdr:colOff>
      <xdr:row>18</xdr:row>
      <xdr:rowOff>327562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A6D5556E-DFD5-4AC5-BEB6-017D60791215}"/>
            </a:ext>
          </a:extLst>
        </xdr:cNvPr>
        <xdr:cNvSpPr/>
      </xdr:nvSpPr>
      <xdr:spPr>
        <a:xfrm>
          <a:off x="6800850" y="3383280"/>
          <a:ext cx="581636" cy="3789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17</xdr:col>
      <xdr:colOff>30480</xdr:colOff>
      <xdr:row>17</xdr:row>
      <xdr:rowOff>102870</xdr:rowOff>
    </xdr:from>
    <xdr:to>
      <xdr:col>17</xdr:col>
      <xdr:colOff>612116</xdr:colOff>
      <xdr:row>18</xdr:row>
      <xdr:rowOff>308512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A911CEC1-D0E8-43B9-996F-20499080B795}"/>
            </a:ext>
          </a:extLst>
        </xdr:cNvPr>
        <xdr:cNvSpPr/>
      </xdr:nvSpPr>
      <xdr:spPr>
        <a:xfrm>
          <a:off x="11315700" y="3358515"/>
          <a:ext cx="583541" cy="3885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23</xdr:col>
      <xdr:colOff>28575</xdr:colOff>
      <xdr:row>17</xdr:row>
      <xdr:rowOff>116205</xdr:rowOff>
    </xdr:from>
    <xdr:to>
      <xdr:col>23</xdr:col>
      <xdr:colOff>606401</xdr:colOff>
      <xdr:row>18</xdr:row>
      <xdr:rowOff>312322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89F8CA13-3C21-4173-97D4-9F0B0A3C2E2B}"/>
            </a:ext>
          </a:extLst>
        </xdr:cNvPr>
        <xdr:cNvSpPr/>
      </xdr:nvSpPr>
      <xdr:spPr>
        <a:xfrm>
          <a:off x="15895320" y="3373755"/>
          <a:ext cx="579731" cy="3789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4456-0AEF-4CAF-B1E3-24DD91BF473B}">
  <dimension ref="A1:AF27"/>
  <sheetViews>
    <sheetView tabSelected="1" zoomScaleNormal="100"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R35" sqref="R35"/>
    </sheetView>
  </sheetViews>
  <sheetFormatPr defaultColWidth="8.81640625" defaultRowHeight="14.5" x14ac:dyDescent="0.35"/>
  <cols>
    <col min="1" max="1" width="4.1796875" style="1" bestFit="1" customWidth="1"/>
    <col min="2" max="2" width="35.1796875" style="1" customWidth="1"/>
    <col min="3" max="3" width="11.453125" style="19" customWidth="1"/>
    <col min="4" max="4" width="11.6328125" style="19" customWidth="1"/>
    <col min="5" max="5" width="10.453125" style="21" customWidth="1"/>
    <col min="6" max="6" width="10.453125" style="20" customWidth="1"/>
    <col min="7" max="7" width="10.81640625" style="20" customWidth="1"/>
    <col min="8" max="8" width="8.81640625" style="1" customWidth="1"/>
    <col min="9" max="10" width="12.36328125" style="19" bestFit="1" customWidth="1"/>
    <col min="11" max="11" width="9.453125" style="19" customWidth="1"/>
    <col min="12" max="12" width="10.36328125" style="20" customWidth="1"/>
    <col min="13" max="13" width="8.81640625" style="20" customWidth="1"/>
    <col min="14" max="14" width="8.81640625" style="15" customWidth="1"/>
    <col min="15" max="16" width="12.36328125" style="21" bestFit="1" customWidth="1"/>
    <col min="17" max="17" width="10.36328125" style="21" customWidth="1"/>
    <col min="18" max="18" width="11" style="20" customWidth="1"/>
    <col min="19" max="19" width="8.81640625" style="20" customWidth="1"/>
    <col min="20" max="20" width="16.453125" style="1" customWidth="1"/>
    <col min="21" max="22" width="11.6328125" style="19" customWidth="1"/>
    <col min="23" max="23" width="9.81640625" style="19" customWidth="1"/>
    <col min="24" max="24" width="10.1796875" style="20" customWidth="1"/>
    <col min="25" max="25" width="9.453125" style="20" customWidth="1"/>
    <col min="26" max="26" width="13" style="1" customWidth="1"/>
    <col min="27" max="27" width="11.36328125" style="19" customWidth="1"/>
    <col min="28" max="28" width="11.453125" style="21" customWidth="1"/>
    <col min="29" max="29" width="10" style="21" customWidth="1"/>
    <col min="30" max="30" width="10.81640625" style="20" customWidth="1"/>
    <col min="31" max="31" width="10" style="20" customWidth="1"/>
    <col min="32" max="16384" width="8.81640625" style="1"/>
  </cols>
  <sheetData>
    <row r="1" spans="1:31" ht="29" x14ac:dyDescent="0.35">
      <c r="A1" s="14" t="s">
        <v>0</v>
      </c>
      <c r="B1" s="11" t="s">
        <v>1</v>
      </c>
      <c r="C1" s="12" t="s">
        <v>60</v>
      </c>
      <c r="D1" s="12" t="s">
        <v>63</v>
      </c>
      <c r="E1" s="24" t="s">
        <v>3</v>
      </c>
      <c r="F1" s="13" t="s">
        <v>4</v>
      </c>
      <c r="G1" s="13" t="s">
        <v>5</v>
      </c>
      <c r="H1" s="8" t="s">
        <v>2</v>
      </c>
      <c r="I1" s="9" t="s">
        <v>60</v>
      </c>
      <c r="J1" s="9" t="s">
        <v>63</v>
      </c>
      <c r="K1" s="22" t="s">
        <v>3</v>
      </c>
      <c r="L1" s="10" t="s">
        <v>4</v>
      </c>
      <c r="M1" s="10" t="s">
        <v>5</v>
      </c>
      <c r="N1" s="18" t="s">
        <v>10</v>
      </c>
      <c r="O1" s="12" t="s">
        <v>60</v>
      </c>
      <c r="P1" s="12" t="s">
        <v>63</v>
      </c>
      <c r="Q1" s="24" t="s">
        <v>3</v>
      </c>
      <c r="R1" s="13" t="s">
        <v>4</v>
      </c>
      <c r="S1" s="13" t="s">
        <v>5</v>
      </c>
      <c r="T1" s="8" t="s">
        <v>6</v>
      </c>
      <c r="U1" s="9" t="s">
        <v>60</v>
      </c>
      <c r="V1" s="9" t="s">
        <v>63</v>
      </c>
      <c r="W1" s="24" t="s">
        <v>3</v>
      </c>
      <c r="X1" s="10" t="s">
        <v>4</v>
      </c>
      <c r="Y1" s="10" t="s">
        <v>5</v>
      </c>
      <c r="Z1" s="11" t="s">
        <v>7</v>
      </c>
      <c r="AA1" s="12" t="s">
        <v>60</v>
      </c>
      <c r="AB1" s="12" t="s">
        <v>63</v>
      </c>
      <c r="AC1" s="12" t="s">
        <v>3</v>
      </c>
      <c r="AD1" s="13" t="s">
        <v>4</v>
      </c>
      <c r="AE1" s="13" t="s">
        <v>5</v>
      </c>
    </row>
    <row r="2" spans="1:31" x14ac:dyDescent="0.35">
      <c r="A2" s="15" t="s">
        <v>20</v>
      </c>
      <c r="B2" s="3" t="s">
        <v>9</v>
      </c>
      <c r="C2" s="6">
        <v>0.91998000000000002</v>
      </c>
      <c r="D2" s="6">
        <v>0.89675000000000005</v>
      </c>
      <c r="E2" s="23">
        <f t="shared" ref="E2:E17" si="0">830/919</f>
        <v>0.90315560391730143</v>
      </c>
      <c r="F2" s="7">
        <v>1835</v>
      </c>
      <c r="G2" s="7">
        <v>978</v>
      </c>
      <c r="H2" s="2" t="s">
        <v>12</v>
      </c>
      <c r="I2" s="4">
        <v>0.93650999999999995</v>
      </c>
      <c r="J2" s="4">
        <v>0.90737000000000001</v>
      </c>
      <c r="K2" s="23">
        <f>527/563</f>
        <v>0.93605683836589693</v>
      </c>
      <c r="L2" s="5">
        <v>1190</v>
      </c>
      <c r="M2" s="5">
        <v>595</v>
      </c>
      <c r="N2" s="16" t="s">
        <v>14</v>
      </c>
      <c r="O2" s="6">
        <v>0.95981000000000005</v>
      </c>
      <c r="P2" s="6">
        <v>0.94850999999999996</v>
      </c>
      <c r="Q2" s="23">
        <f>402/415</f>
        <v>0.96867469879518076</v>
      </c>
      <c r="R2" s="7">
        <v>688</v>
      </c>
      <c r="S2" s="7">
        <v>433</v>
      </c>
      <c r="T2" s="2" t="s">
        <v>16</v>
      </c>
      <c r="U2" s="4">
        <v>0.97065000000000001</v>
      </c>
      <c r="V2" s="4">
        <v>0.96123000000000003</v>
      </c>
      <c r="W2" s="23">
        <f>356/367</f>
        <v>0.97002724795640327</v>
      </c>
      <c r="X2" s="5">
        <v>590</v>
      </c>
      <c r="Y2" s="5">
        <v>370</v>
      </c>
      <c r="Z2" s="3" t="s">
        <v>18</v>
      </c>
      <c r="AA2" s="6">
        <v>0.98521000000000003</v>
      </c>
      <c r="AB2" s="6">
        <v>0.97679000000000005</v>
      </c>
      <c r="AC2" s="23">
        <f>326/334</f>
        <v>0.9760479041916168</v>
      </c>
      <c r="AD2" s="7">
        <v>499</v>
      </c>
      <c r="AE2" s="7">
        <v>337</v>
      </c>
    </row>
    <row r="3" spans="1:31" x14ac:dyDescent="0.35">
      <c r="A3" s="15" t="s">
        <v>21</v>
      </c>
      <c r="B3" s="3" t="s">
        <v>9</v>
      </c>
      <c r="C3" s="6">
        <v>0.91998000000000002</v>
      </c>
      <c r="D3" s="6">
        <v>0.89675000000000005</v>
      </c>
      <c r="E3" s="23">
        <f t="shared" si="0"/>
        <v>0.90315560391730143</v>
      </c>
      <c r="F3" s="7">
        <v>1835</v>
      </c>
      <c r="G3" s="7">
        <v>978</v>
      </c>
      <c r="H3" s="2" t="s">
        <v>13</v>
      </c>
      <c r="I3" s="4">
        <v>0.88946999999999998</v>
      </c>
      <c r="J3" s="4">
        <v>0.87714999999999999</v>
      </c>
      <c r="K3" s="23">
        <f>303/356</f>
        <v>0.851123595505618</v>
      </c>
      <c r="L3" s="5">
        <v>645</v>
      </c>
      <c r="M3" s="5">
        <v>383</v>
      </c>
      <c r="N3" s="16" t="s">
        <v>14</v>
      </c>
      <c r="O3" s="6">
        <v>0.89424999999999999</v>
      </c>
      <c r="P3" s="6">
        <v>0.87770999999999999</v>
      </c>
      <c r="Q3" s="23">
        <f>142/157</f>
        <v>0.90445859872611467</v>
      </c>
      <c r="R3" s="7">
        <v>255</v>
      </c>
      <c r="S3" s="7">
        <v>164</v>
      </c>
      <c r="T3" s="2" t="s">
        <v>16</v>
      </c>
      <c r="U3" s="4">
        <v>0.93462000000000001</v>
      </c>
      <c r="V3" s="4">
        <v>0.88959999999999995</v>
      </c>
      <c r="W3" s="23">
        <f>119/128</f>
        <v>0.9296875</v>
      </c>
      <c r="X3" s="5">
        <v>217</v>
      </c>
      <c r="Y3" s="5">
        <v>130</v>
      </c>
      <c r="Z3" s="3" t="s">
        <v>18</v>
      </c>
      <c r="AA3" s="6">
        <v>0.96564000000000005</v>
      </c>
      <c r="AB3" s="6">
        <v>0.91205999999999998</v>
      </c>
      <c r="AC3" s="23">
        <f>91/94</f>
        <v>0.96808510638297873</v>
      </c>
      <c r="AD3" s="7">
        <v>160</v>
      </c>
      <c r="AE3" s="7">
        <v>96</v>
      </c>
    </row>
    <row r="4" spans="1:31" x14ac:dyDescent="0.35">
      <c r="A4" s="15" t="s">
        <v>22</v>
      </c>
      <c r="B4" s="3" t="s">
        <v>9</v>
      </c>
      <c r="C4" s="6">
        <v>0.91998000000000002</v>
      </c>
      <c r="D4" s="6">
        <v>0.89675000000000005</v>
      </c>
      <c r="E4" s="23">
        <f t="shared" si="0"/>
        <v>0.90315560391730143</v>
      </c>
      <c r="F4" s="7">
        <v>1835</v>
      </c>
      <c r="G4" s="7">
        <v>978</v>
      </c>
      <c r="H4" s="2" t="s">
        <v>12</v>
      </c>
      <c r="I4" s="4">
        <v>0.93650999999999995</v>
      </c>
      <c r="J4" s="4">
        <v>0.90737000000000001</v>
      </c>
      <c r="K4" s="23">
        <f>527/563</f>
        <v>0.93605683836589693</v>
      </c>
      <c r="L4" s="5">
        <v>1190</v>
      </c>
      <c r="M4" s="5">
        <v>595</v>
      </c>
      <c r="N4" s="16" t="s">
        <v>15</v>
      </c>
      <c r="O4" s="6">
        <v>0.91181000000000001</v>
      </c>
      <c r="P4" s="6">
        <v>0.86373</v>
      </c>
      <c r="Q4" s="23">
        <f>125/148</f>
        <v>0.84459459459459463</v>
      </c>
      <c r="R4" s="7">
        <v>501</v>
      </c>
      <c r="S4" s="7">
        <v>161</v>
      </c>
      <c r="T4" s="2" t="s">
        <v>16</v>
      </c>
      <c r="U4" s="4">
        <v>0.93337000000000003</v>
      </c>
      <c r="V4" s="4">
        <v>0.92034000000000005</v>
      </c>
      <c r="W4" s="23">
        <f>101/109</f>
        <v>0.92660550458715596</v>
      </c>
      <c r="X4" s="5">
        <v>389</v>
      </c>
      <c r="Y4" s="5">
        <v>110</v>
      </c>
      <c r="Z4" s="3" t="s">
        <v>18</v>
      </c>
      <c r="AA4" s="6">
        <v>0.95687999999999995</v>
      </c>
      <c r="AB4" s="6">
        <v>0.95494999999999997</v>
      </c>
      <c r="AC4" s="23">
        <f>78/83</f>
        <v>0.93975903614457834</v>
      </c>
      <c r="AD4" s="7">
        <v>292</v>
      </c>
      <c r="AE4" s="7">
        <v>84</v>
      </c>
    </row>
    <row r="5" spans="1:31" x14ac:dyDescent="0.35">
      <c r="A5" s="15" t="s">
        <v>23</v>
      </c>
      <c r="B5" s="3" t="s">
        <v>9</v>
      </c>
      <c r="C5" s="6">
        <v>0.91998000000000002</v>
      </c>
      <c r="D5" s="6">
        <v>0.89675000000000005</v>
      </c>
      <c r="E5" s="23">
        <f t="shared" si="0"/>
        <v>0.90315560391730143</v>
      </c>
      <c r="F5" s="7">
        <v>1835</v>
      </c>
      <c r="G5" s="7">
        <v>978</v>
      </c>
      <c r="H5" s="2" t="s">
        <v>13</v>
      </c>
      <c r="I5" s="4">
        <v>0.88946999999999998</v>
      </c>
      <c r="J5" s="4">
        <v>0.87714999999999999</v>
      </c>
      <c r="K5" s="23">
        <f>303/356</f>
        <v>0.851123595505618</v>
      </c>
      <c r="L5" s="5">
        <v>645</v>
      </c>
      <c r="M5" s="5">
        <v>383</v>
      </c>
      <c r="N5" s="16" t="s">
        <v>15</v>
      </c>
      <c r="O5" s="6">
        <v>0.88439999999999996</v>
      </c>
      <c r="P5" s="6">
        <v>0.87719999999999998</v>
      </c>
      <c r="Q5" s="23">
        <f>161/199</f>
        <v>0.80904522613065322</v>
      </c>
      <c r="R5" s="7">
        <v>389</v>
      </c>
      <c r="S5" s="7">
        <v>219</v>
      </c>
      <c r="T5" s="2" t="s">
        <v>16</v>
      </c>
      <c r="U5" s="4">
        <v>0.90103999999999995</v>
      </c>
      <c r="V5" s="4">
        <v>0.89020999999999995</v>
      </c>
      <c r="W5" s="23">
        <f>139/161</f>
        <v>0.86335403726708071</v>
      </c>
      <c r="X5" s="5">
        <v>296</v>
      </c>
      <c r="Y5" s="5">
        <v>164</v>
      </c>
      <c r="Z5" s="3" t="s">
        <v>18</v>
      </c>
      <c r="AA5" s="6">
        <v>0.94579000000000002</v>
      </c>
      <c r="AB5" s="6">
        <v>0.94332000000000005</v>
      </c>
      <c r="AC5" s="23">
        <f>91/101</f>
        <v>0.90099009900990101</v>
      </c>
      <c r="AD5" s="7">
        <v>194</v>
      </c>
      <c r="AE5" s="7">
        <v>102</v>
      </c>
    </row>
    <row r="6" spans="1:31" x14ac:dyDescent="0.35">
      <c r="A6" s="15" t="s">
        <v>28</v>
      </c>
      <c r="B6" s="3" t="s">
        <v>9</v>
      </c>
      <c r="C6" s="6">
        <v>0.91998000000000002</v>
      </c>
      <c r="D6" s="6">
        <v>0.89675000000000005</v>
      </c>
      <c r="E6" s="23">
        <f t="shared" si="0"/>
        <v>0.90315560391730143</v>
      </c>
      <c r="F6" s="7">
        <v>1835</v>
      </c>
      <c r="G6" s="7">
        <v>978</v>
      </c>
      <c r="H6" s="2" t="s">
        <v>12</v>
      </c>
      <c r="I6" s="4">
        <v>0.93650999999999995</v>
      </c>
      <c r="J6" s="4">
        <v>0.90737000000000001</v>
      </c>
      <c r="K6" s="23">
        <f>527/563</f>
        <v>0.93605683836589693</v>
      </c>
      <c r="L6" s="5">
        <v>1190</v>
      </c>
      <c r="M6" s="5">
        <v>595</v>
      </c>
      <c r="N6" s="16" t="s">
        <v>14</v>
      </c>
      <c r="O6" s="6">
        <v>0.95981000000000005</v>
      </c>
      <c r="P6" s="6">
        <v>0.94850999999999996</v>
      </c>
      <c r="Q6" s="23">
        <f>402/415</f>
        <v>0.96867469879518076</v>
      </c>
      <c r="R6" s="7">
        <v>688</v>
      </c>
      <c r="S6" s="7">
        <v>433</v>
      </c>
      <c r="T6" s="2" t="s">
        <v>16</v>
      </c>
      <c r="U6" s="4">
        <v>0.97065000000000001</v>
      </c>
      <c r="V6" s="4">
        <v>0.96123000000000003</v>
      </c>
      <c r="W6" s="23">
        <f>356/367</f>
        <v>0.97002724795640327</v>
      </c>
      <c r="X6" s="5">
        <v>590</v>
      </c>
      <c r="Y6" s="5">
        <v>370</v>
      </c>
      <c r="Z6" s="3" t="s">
        <v>19</v>
      </c>
      <c r="AA6" s="6">
        <v>0.85124999999999995</v>
      </c>
      <c r="AB6" s="6">
        <v>0.90896999999999994</v>
      </c>
      <c r="AC6" s="27">
        <f>20/23</f>
        <v>0.86956521739130432</v>
      </c>
      <c r="AD6" s="7">
        <v>52</v>
      </c>
      <c r="AE6" s="7">
        <v>23</v>
      </c>
    </row>
    <row r="7" spans="1:31" x14ac:dyDescent="0.35">
      <c r="A7" s="15" t="s">
        <v>29</v>
      </c>
      <c r="B7" s="3" t="s">
        <v>9</v>
      </c>
      <c r="C7" s="6">
        <v>0.91998000000000002</v>
      </c>
      <c r="D7" s="6">
        <v>0.89675000000000005</v>
      </c>
      <c r="E7" s="23">
        <f t="shared" si="0"/>
        <v>0.90315560391730143</v>
      </c>
      <c r="F7" s="7">
        <v>1835</v>
      </c>
      <c r="G7" s="7">
        <v>978</v>
      </c>
      <c r="H7" s="2" t="s">
        <v>13</v>
      </c>
      <c r="I7" s="4">
        <v>0.88946999999999998</v>
      </c>
      <c r="J7" s="4">
        <v>0.87714999999999999</v>
      </c>
      <c r="K7" s="23">
        <f>303/356</f>
        <v>0.851123595505618</v>
      </c>
      <c r="L7" s="5">
        <v>645</v>
      </c>
      <c r="M7" s="5">
        <v>383</v>
      </c>
      <c r="N7" s="16" t="s">
        <v>14</v>
      </c>
      <c r="O7" s="6">
        <v>0.89424999999999999</v>
      </c>
      <c r="P7" s="6">
        <v>0.87770999999999999</v>
      </c>
      <c r="Q7" s="23">
        <f>142/157</f>
        <v>0.90445859872611467</v>
      </c>
      <c r="R7" s="7">
        <v>255</v>
      </c>
      <c r="S7" s="7">
        <v>164</v>
      </c>
      <c r="T7" s="2" t="s">
        <v>16</v>
      </c>
      <c r="U7" s="4">
        <v>0.93462000000000001</v>
      </c>
      <c r="V7" s="4">
        <v>0.88959999999999995</v>
      </c>
      <c r="W7" s="23">
        <f>119/128</f>
        <v>0.9296875</v>
      </c>
      <c r="X7" s="5">
        <v>217</v>
      </c>
      <c r="Y7" s="5">
        <v>130</v>
      </c>
      <c r="Z7" s="3" t="s">
        <v>19</v>
      </c>
      <c r="AA7" s="6">
        <v>0.84436999999999995</v>
      </c>
      <c r="AB7" s="6">
        <v>0.81415000000000004</v>
      </c>
      <c r="AC7" s="23">
        <f>23/29</f>
        <v>0.7931034482758621</v>
      </c>
      <c r="AD7" s="7">
        <v>48</v>
      </c>
      <c r="AE7" s="7">
        <v>29</v>
      </c>
    </row>
    <row r="8" spans="1:31" ht="15" thickBot="1" x14ac:dyDescent="0.4">
      <c r="A8" s="15" t="s">
        <v>30</v>
      </c>
      <c r="B8" s="3" t="s">
        <v>9</v>
      </c>
      <c r="C8" s="6">
        <v>0.91998000000000002</v>
      </c>
      <c r="D8" s="6">
        <v>0.89675000000000005</v>
      </c>
      <c r="E8" s="23">
        <f t="shared" si="0"/>
        <v>0.90315560391730143</v>
      </c>
      <c r="F8" s="7">
        <v>1835</v>
      </c>
      <c r="G8" s="7">
        <v>978</v>
      </c>
      <c r="H8" s="2" t="s">
        <v>12</v>
      </c>
      <c r="I8" s="4">
        <v>0.93650999999999995</v>
      </c>
      <c r="J8" s="4">
        <v>0.90737000000000001</v>
      </c>
      <c r="K8" s="23">
        <f>527/563</f>
        <v>0.93605683836589693</v>
      </c>
      <c r="L8" s="5">
        <v>1190</v>
      </c>
      <c r="M8" s="5">
        <v>595</v>
      </c>
      <c r="N8" s="16" t="s">
        <v>15</v>
      </c>
      <c r="O8" s="6">
        <v>0.91181000000000001</v>
      </c>
      <c r="P8" s="6">
        <v>0.86373</v>
      </c>
      <c r="Q8" s="23">
        <f>125/148</f>
        <v>0.84459459459459463</v>
      </c>
      <c r="R8" s="7">
        <v>501</v>
      </c>
      <c r="S8" s="7">
        <v>161</v>
      </c>
      <c r="T8" s="2" t="s">
        <v>16</v>
      </c>
      <c r="U8" s="4">
        <v>0.93337000000000003</v>
      </c>
      <c r="V8" s="4">
        <v>0.92034000000000005</v>
      </c>
      <c r="W8" s="23">
        <f>101/109</f>
        <v>0.92660550458715596</v>
      </c>
      <c r="X8" s="5">
        <v>389</v>
      </c>
      <c r="Y8" s="5">
        <v>110</v>
      </c>
      <c r="Z8" s="3" t="s">
        <v>19</v>
      </c>
      <c r="AA8" s="6">
        <v>0.86412</v>
      </c>
      <c r="AB8" s="6">
        <v>0.80410999999999999</v>
      </c>
      <c r="AC8" s="23">
        <f>15/18</f>
        <v>0.83333333333333337</v>
      </c>
      <c r="AD8" s="7">
        <v>86</v>
      </c>
      <c r="AE8" s="7">
        <v>18</v>
      </c>
    </row>
    <row r="9" spans="1:31" ht="15" thickBot="1" x14ac:dyDescent="0.4">
      <c r="A9" s="40" t="s">
        <v>31</v>
      </c>
      <c r="B9" s="30" t="s">
        <v>9</v>
      </c>
      <c r="C9" s="31">
        <v>0.91998000000000002</v>
      </c>
      <c r="D9" s="31">
        <v>0.89675000000000005</v>
      </c>
      <c r="E9" s="32">
        <f t="shared" si="0"/>
        <v>0.90315560391730143</v>
      </c>
      <c r="F9" s="33">
        <v>1835</v>
      </c>
      <c r="G9" s="33">
        <v>978</v>
      </c>
      <c r="H9" s="34" t="s">
        <v>13</v>
      </c>
      <c r="I9" s="35">
        <v>0.88946999999999998</v>
      </c>
      <c r="J9" s="35">
        <v>0.87714999999999999</v>
      </c>
      <c r="K9" s="32">
        <f>303/356</f>
        <v>0.851123595505618</v>
      </c>
      <c r="L9" s="36">
        <v>645</v>
      </c>
      <c r="M9" s="36">
        <v>383</v>
      </c>
      <c r="N9" s="37" t="s">
        <v>15</v>
      </c>
      <c r="O9" s="31">
        <v>0.88439999999999996</v>
      </c>
      <c r="P9" s="31">
        <v>0.87719999999999998</v>
      </c>
      <c r="Q9" s="32">
        <f>161/199</f>
        <v>0.80904522613065322</v>
      </c>
      <c r="R9" s="33">
        <v>389</v>
      </c>
      <c r="S9" s="33">
        <v>219</v>
      </c>
      <c r="T9" s="34" t="s">
        <v>16</v>
      </c>
      <c r="U9" s="35">
        <v>0.90103999999999995</v>
      </c>
      <c r="V9" s="35">
        <v>0.89020999999999995</v>
      </c>
      <c r="W9" s="32">
        <f>139/161</f>
        <v>0.86335403726708071</v>
      </c>
      <c r="X9" s="36">
        <v>296</v>
      </c>
      <c r="Y9" s="36">
        <v>164</v>
      </c>
      <c r="Z9" s="38" t="s">
        <v>19</v>
      </c>
      <c r="AA9" s="31">
        <v>0.81028999999999995</v>
      </c>
      <c r="AB9" s="31">
        <v>0.71177999999999997</v>
      </c>
      <c r="AC9" s="32">
        <f>41/53</f>
        <v>0.77358490566037741</v>
      </c>
      <c r="AD9" s="33">
        <v>89</v>
      </c>
      <c r="AE9" s="39">
        <v>55</v>
      </c>
    </row>
    <row r="10" spans="1:31" x14ac:dyDescent="0.35">
      <c r="A10" s="15" t="s">
        <v>24</v>
      </c>
      <c r="B10" s="3" t="s">
        <v>9</v>
      </c>
      <c r="C10" s="6">
        <v>0.91998000000000002</v>
      </c>
      <c r="D10" s="6">
        <v>0.89675000000000005</v>
      </c>
      <c r="E10" s="23">
        <f t="shared" si="0"/>
        <v>0.90315560391730143</v>
      </c>
      <c r="F10" s="7">
        <v>1835</v>
      </c>
      <c r="G10" s="7">
        <v>978</v>
      </c>
      <c r="H10" s="2" t="s">
        <v>12</v>
      </c>
      <c r="I10" s="4">
        <v>0.93650999999999995</v>
      </c>
      <c r="J10" s="4">
        <v>0.90737000000000001</v>
      </c>
      <c r="K10" s="23">
        <f>527/563</f>
        <v>0.93605683836589693</v>
      </c>
      <c r="L10" s="5">
        <v>1190</v>
      </c>
      <c r="M10" s="5">
        <v>595</v>
      </c>
      <c r="N10" s="16" t="s">
        <v>14</v>
      </c>
      <c r="O10" s="6">
        <v>0.95981000000000005</v>
      </c>
      <c r="P10" s="6">
        <v>0.94850999999999996</v>
      </c>
      <c r="Q10" s="23">
        <f>402/415</f>
        <v>0.96867469879518076</v>
      </c>
      <c r="R10" s="7">
        <v>688</v>
      </c>
      <c r="S10" s="7">
        <v>433</v>
      </c>
      <c r="T10" s="2" t="s">
        <v>17</v>
      </c>
      <c r="U10" s="4">
        <v>0.90471000000000001</v>
      </c>
      <c r="V10" s="4">
        <v>0.8841</v>
      </c>
      <c r="W10" s="23">
        <f>44/46</f>
        <v>0.95652173913043481</v>
      </c>
      <c r="X10" s="5">
        <v>79</v>
      </c>
      <c r="Y10" s="5">
        <v>48</v>
      </c>
      <c r="Z10" s="3" t="s">
        <v>18</v>
      </c>
      <c r="AA10" s="6">
        <v>0.94077999999999995</v>
      </c>
      <c r="AB10" s="6">
        <v>0.89012999999999998</v>
      </c>
      <c r="AC10" s="23">
        <f>35/37</f>
        <v>0.94594594594594594</v>
      </c>
      <c r="AD10" s="7">
        <v>63</v>
      </c>
      <c r="AE10" s="7">
        <v>39</v>
      </c>
    </row>
    <row r="11" spans="1:31" x14ac:dyDescent="0.35">
      <c r="A11" s="15" t="s">
        <v>25</v>
      </c>
      <c r="B11" s="3" t="s">
        <v>9</v>
      </c>
      <c r="C11" s="6">
        <v>0.91998000000000002</v>
      </c>
      <c r="D11" s="6">
        <v>0.89675000000000005</v>
      </c>
      <c r="E11" s="23">
        <f t="shared" si="0"/>
        <v>0.90315560391730143</v>
      </c>
      <c r="F11" s="7">
        <v>1835</v>
      </c>
      <c r="G11" s="7">
        <v>978</v>
      </c>
      <c r="H11" s="2" t="s">
        <v>13</v>
      </c>
      <c r="I11" s="4">
        <v>0.88946999999999998</v>
      </c>
      <c r="J11" s="4">
        <v>0.87714999999999999</v>
      </c>
      <c r="K11" s="23">
        <f>303/356</f>
        <v>0.851123595505618</v>
      </c>
      <c r="L11" s="5">
        <v>645</v>
      </c>
      <c r="M11" s="5">
        <v>383</v>
      </c>
      <c r="N11" s="16" t="s">
        <v>14</v>
      </c>
      <c r="O11" s="6">
        <v>0.89424999999999999</v>
      </c>
      <c r="P11" s="6">
        <v>0.87770999999999999</v>
      </c>
      <c r="Q11" s="23">
        <f>142/157</f>
        <v>0.90445859872611467</v>
      </c>
      <c r="R11" s="7">
        <v>255</v>
      </c>
      <c r="S11" s="7">
        <v>164</v>
      </c>
      <c r="T11" s="2" t="s">
        <v>17</v>
      </c>
      <c r="U11" s="4">
        <v>0.68906999999999996</v>
      </c>
      <c r="V11" s="4">
        <v>0.81381000000000003</v>
      </c>
      <c r="W11" s="23">
        <f>23/29</f>
        <v>0.7931034482758621</v>
      </c>
      <c r="X11" s="5">
        <v>35</v>
      </c>
      <c r="Y11" s="5">
        <v>29</v>
      </c>
      <c r="Z11" s="3" t="s">
        <v>18</v>
      </c>
      <c r="AA11" s="6">
        <v>0.62814000000000003</v>
      </c>
      <c r="AB11" s="6">
        <v>0.81264999999999998</v>
      </c>
      <c r="AC11" s="23">
        <f>13/16</f>
        <v>0.8125</v>
      </c>
      <c r="AD11" s="7">
        <v>18</v>
      </c>
      <c r="AE11" s="7">
        <v>16</v>
      </c>
    </row>
    <row r="12" spans="1:31" x14ac:dyDescent="0.35">
      <c r="A12" s="15" t="s">
        <v>26</v>
      </c>
      <c r="B12" s="3" t="s">
        <v>9</v>
      </c>
      <c r="C12" s="6">
        <v>0.91998000000000002</v>
      </c>
      <c r="D12" s="6">
        <v>0.89675000000000005</v>
      </c>
      <c r="E12" s="23">
        <f t="shared" si="0"/>
        <v>0.90315560391730143</v>
      </c>
      <c r="F12" s="7">
        <v>1835</v>
      </c>
      <c r="G12" s="7">
        <v>978</v>
      </c>
      <c r="H12" s="2" t="s">
        <v>12</v>
      </c>
      <c r="I12" s="4">
        <v>0.93650999999999995</v>
      </c>
      <c r="J12" s="4">
        <v>0.90737000000000001</v>
      </c>
      <c r="K12" s="23">
        <f>527/563</f>
        <v>0.93605683836589693</v>
      </c>
      <c r="L12" s="5">
        <v>1190</v>
      </c>
      <c r="M12" s="5">
        <v>595</v>
      </c>
      <c r="N12" s="16" t="s">
        <v>15</v>
      </c>
      <c r="O12" s="6">
        <v>0.91181000000000001</v>
      </c>
      <c r="P12" s="6">
        <v>0.86373</v>
      </c>
      <c r="Q12" s="23">
        <f>125/148</f>
        <v>0.84459459459459463</v>
      </c>
      <c r="R12" s="7">
        <v>501</v>
      </c>
      <c r="S12" s="7">
        <v>161</v>
      </c>
      <c r="T12" s="2" t="s">
        <v>17</v>
      </c>
      <c r="U12" s="4">
        <v>0.80223999999999995</v>
      </c>
      <c r="V12" s="4">
        <v>0.57701000000000002</v>
      </c>
      <c r="W12" s="23">
        <f>23/37</f>
        <v>0.6216216216216216</v>
      </c>
      <c r="X12" s="5">
        <v>99</v>
      </c>
      <c r="Y12" s="5">
        <v>38</v>
      </c>
      <c r="Z12" s="3" t="s">
        <v>18</v>
      </c>
      <c r="AA12" s="25">
        <v>0.82516</v>
      </c>
      <c r="AB12" s="6">
        <v>0.59662999999999999</v>
      </c>
      <c r="AC12" s="23">
        <f>15/18</f>
        <v>0.83333333333333337</v>
      </c>
      <c r="AD12" s="17">
        <v>49</v>
      </c>
      <c r="AE12" s="7">
        <v>18</v>
      </c>
    </row>
    <row r="13" spans="1:31" x14ac:dyDescent="0.35">
      <c r="A13" s="15" t="s">
        <v>27</v>
      </c>
      <c r="B13" s="3" t="s">
        <v>9</v>
      </c>
      <c r="C13" s="6">
        <v>0.91998000000000002</v>
      </c>
      <c r="D13" s="6">
        <v>0.89675000000000005</v>
      </c>
      <c r="E13" s="23">
        <f t="shared" si="0"/>
        <v>0.90315560391730143</v>
      </c>
      <c r="F13" s="7">
        <v>1835</v>
      </c>
      <c r="G13" s="7">
        <v>978</v>
      </c>
      <c r="H13" s="2" t="s">
        <v>13</v>
      </c>
      <c r="I13" s="4">
        <v>0.88946999999999998</v>
      </c>
      <c r="J13" s="4">
        <v>0.87714999999999999</v>
      </c>
      <c r="K13" s="23">
        <f>303/356</f>
        <v>0.851123595505618</v>
      </c>
      <c r="L13" s="5">
        <v>645</v>
      </c>
      <c r="M13" s="5">
        <v>383</v>
      </c>
      <c r="N13" s="16" t="s">
        <v>15</v>
      </c>
      <c r="O13" s="6">
        <v>0.88439999999999996</v>
      </c>
      <c r="P13" s="6">
        <v>0.87719999999999998</v>
      </c>
      <c r="Q13" s="23">
        <f>161/199</f>
        <v>0.80904522613065322</v>
      </c>
      <c r="R13" s="7">
        <v>389</v>
      </c>
      <c r="S13" s="7">
        <v>219</v>
      </c>
      <c r="T13" s="2" t="s">
        <v>17</v>
      </c>
      <c r="U13" s="4">
        <v>0.79986000000000002</v>
      </c>
      <c r="V13" s="4">
        <v>0.81130999999999998</v>
      </c>
      <c r="W13" s="23">
        <f>22/38</f>
        <v>0.57894736842105265</v>
      </c>
      <c r="X13" s="5">
        <v>80</v>
      </c>
      <c r="Y13" s="5">
        <v>39</v>
      </c>
      <c r="Z13" s="3" t="s">
        <v>18</v>
      </c>
      <c r="AA13" s="25">
        <v>0.85946999999999996</v>
      </c>
      <c r="AB13" s="6">
        <v>0.85190999999999995</v>
      </c>
      <c r="AC13" s="23">
        <f>13/17</f>
        <v>0.76470588235294112</v>
      </c>
      <c r="AD13" s="7">
        <v>33</v>
      </c>
      <c r="AE13" s="7">
        <v>17</v>
      </c>
    </row>
    <row r="14" spans="1:31" x14ac:dyDescent="0.35">
      <c r="A14" s="15" t="s">
        <v>32</v>
      </c>
      <c r="B14" s="3" t="s">
        <v>9</v>
      </c>
      <c r="C14" s="6">
        <v>0.91998000000000002</v>
      </c>
      <c r="D14" s="6">
        <v>0.89675000000000005</v>
      </c>
      <c r="E14" s="23">
        <f t="shared" si="0"/>
        <v>0.90315560391730143</v>
      </c>
      <c r="F14" s="7">
        <v>1835</v>
      </c>
      <c r="G14" s="7">
        <v>978</v>
      </c>
      <c r="H14" s="2" t="s">
        <v>12</v>
      </c>
      <c r="I14" s="4">
        <v>0.93650999999999995</v>
      </c>
      <c r="J14" s="4">
        <v>0.90737000000000001</v>
      </c>
      <c r="K14" s="23">
        <f>527/563</f>
        <v>0.93605683836589693</v>
      </c>
      <c r="L14" s="5">
        <v>1190</v>
      </c>
      <c r="M14" s="5">
        <v>595</v>
      </c>
      <c r="N14" s="16" t="s">
        <v>14</v>
      </c>
      <c r="O14" s="6">
        <v>0.95981000000000005</v>
      </c>
      <c r="P14" s="6">
        <v>0.94850999999999996</v>
      </c>
      <c r="Q14" s="23">
        <f>402/415</f>
        <v>0.96867469879518076</v>
      </c>
      <c r="R14" s="7">
        <v>688</v>
      </c>
      <c r="S14" s="7">
        <v>433</v>
      </c>
      <c r="T14" s="2" t="s">
        <v>17</v>
      </c>
      <c r="U14" s="4">
        <v>0.90471000000000001</v>
      </c>
      <c r="V14" s="4">
        <v>0.8841</v>
      </c>
      <c r="W14" s="23">
        <f>44/46</f>
        <v>0.95652173913043481</v>
      </c>
      <c r="X14" s="5">
        <v>79</v>
      </c>
      <c r="Y14" s="5">
        <v>48</v>
      </c>
      <c r="Z14" s="3" t="s">
        <v>19</v>
      </c>
      <c r="AA14" s="6">
        <v>0.60880999999999996</v>
      </c>
      <c r="AB14" s="6">
        <v>0.86385000000000001</v>
      </c>
      <c r="AC14" s="23">
        <f>7/7</f>
        <v>1</v>
      </c>
      <c r="AD14" s="7">
        <v>13</v>
      </c>
      <c r="AE14" s="7">
        <v>7</v>
      </c>
    </row>
    <row r="15" spans="1:31" x14ac:dyDescent="0.35">
      <c r="A15" s="15" t="s">
        <v>33</v>
      </c>
      <c r="B15" s="3" t="s">
        <v>9</v>
      </c>
      <c r="C15" s="6">
        <v>0.91998000000000002</v>
      </c>
      <c r="D15" s="6">
        <v>0.89675000000000005</v>
      </c>
      <c r="E15" s="23">
        <f t="shared" si="0"/>
        <v>0.90315560391730143</v>
      </c>
      <c r="F15" s="7">
        <v>1835</v>
      </c>
      <c r="G15" s="7">
        <v>978</v>
      </c>
      <c r="H15" s="2" t="s">
        <v>13</v>
      </c>
      <c r="I15" s="4">
        <v>0.88946999999999998</v>
      </c>
      <c r="J15" s="4">
        <v>0.87714999999999999</v>
      </c>
      <c r="K15" s="23">
        <f>303/356</f>
        <v>0.851123595505618</v>
      </c>
      <c r="L15" s="5">
        <v>645</v>
      </c>
      <c r="M15" s="5">
        <v>383</v>
      </c>
      <c r="N15" s="16" t="s">
        <v>14</v>
      </c>
      <c r="O15" s="6">
        <v>0.89424999999999999</v>
      </c>
      <c r="P15" s="6">
        <v>0.87770999999999999</v>
      </c>
      <c r="Q15" s="23">
        <f>142/157</f>
        <v>0.90445859872611467</v>
      </c>
      <c r="R15" s="7">
        <v>255</v>
      </c>
      <c r="S15" s="7">
        <v>164</v>
      </c>
      <c r="T15" s="2" t="s">
        <v>17</v>
      </c>
      <c r="U15" s="4">
        <v>0.68906999999999996</v>
      </c>
      <c r="V15" s="4">
        <v>0.81381000000000003</v>
      </c>
      <c r="W15" s="23">
        <f>23/29</f>
        <v>0.7931034482758621</v>
      </c>
      <c r="X15" s="5">
        <v>35</v>
      </c>
      <c r="Y15" s="5">
        <v>29</v>
      </c>
      <c r="Z15" s="3" t="s">
        <v>19</v>
      </c>
      <c r="AA15" s="6">
        <v>0.86631999999999998</v>
      </c>
      <c r="AB15" s="6">
        <v>0.81769999999999998</v>
      </c>
      <c r="AC15" s="23">
        <f>9/12</f>
        <v>0.75</v>
      </c>
      <c r="AD15" s="7">
        <v>17</v>
      </c>
      <c r="AE15" s="7">
        <v>12</v>
      </c>
    </row>
    <row r="16" spans="1:31" x14ac:dyDescent="0.35">
      <c r="A16" s="15" t="s">
        <v>34</v>
      </c>
      <c r="B16" s="3" t="s">
        <v>9</v>
      </c>
      <c r="C16" s="6">
        <v>0.91998000000000002</v>
      </c>
      <c r="D16" s="6">
        <v>0.89675000000000005</v>
      </c>
      <c r="E16" s="23">
        <f t="shared" si="0"/>
        <v>0.90315560391730143</v>
      </c>
      <c r="F16" s="7">
        <v>1835</v>
      </c>
      <c r="G16" s="7">
        <v>978</v>
      </c>
      <c r="H16" s="2" t="s">
        <v>12</v>
      </c>
      <c r="I16" s="4">
        <v>0.93650999999999995</v>
      </c>
      <c r="J16" s="4">
        <v>0.90737000000000001</v>
      </c>
      <c r="K16" s="23">
        <f>527/563</f>
        <v>0.93605683836589693</v>
      </c>
      <c r="L16" s="5">
        <v>1190</v>
      </c>
      <c r="M16" s="5">
        <v>595</v>
      </c>
      <c r="N16" s="16" t="s">
        <v>15</v>
      </c>
      <c r="O16" s="6">
        <v>0.91181000000000001</v>
      </c>
      <c r="P16" s="6">
        <v>0.86373</v>
      </c>
      <c r="Q16" s="23">
        <f>125/148</f>
        <v>0.84459459459459463</v>
      </c>
      <c r="R16" s="7">
        <v>501</v>
      </c>
      <c r="S16" s="7">
        <v>161</v>
      </c>
      <c r="T16" s="2" t="s">
        <v>17</v>
      </c>
      <c r="U16" s="4">
        <v>0.80223999999999995</v>
      </c>
      <c r="V16" s="4">
        <v>0.57701000000000002</v>
      </c>
      <c r="W16" s="23">
        <f>23/37</f>
        <v>0.6216216216216216</v>
      </c>
      <c r="X16" s="5">
        <v>99</v>
      </c>
      <c r="Y16" s="5">
        <v>38</v>
      </c>
      <c r="Z16" s="3" t="s">
        <v>19</v>
      </c>
      <c r="AA16" s="6">
        <v>0.73470999999999997</v>
      </c>
      <c r="AB16" s="6">
        <v>0.5111</v>
      </c>
      <c r="AC16" s="23">
        <f>6/17</f>
        <v>0.35294117647058826</v>
      </c>
      <c r="AD16" s="7">
        <v>43</v>
      </c>
      <c r="AE16" s="7">
        <v>18</v>
      </c>
    </row>
    <row r="17" spans="1:32" x14ac:dyDescent="0.35">
      <c r="A17" s="15" t="s">
        <v>35</v>
      </c>
      <c r="B17" s="3" t="s">
        <v>9</v>
      </c>
      <c r="C17" s="6">
        <v>0.91998000000000002</v>
      </c>
      <c r="D17" s="6">
        <v>0.89675000000000005</v>
      </c>
      <c r="E17" s="23">
        <f t="shared" si="0"/>
        <v>0.90315560391730143</v>
      </c>
      <c r="F17" s="7">
        <v>1835</v>
      </c>
      <c r="G17" s="7">
        <v>978</v>
      </c>
      <c r="H17" s="2" t="s">
        <v>13</v>
      </c>
      <c r="I17" s="4">
        <v>0.88946999999999998</v>
      </c>
      <c r="J17" s="4">
        <v>0.87714999999999999</v>
      </c>
      <c r="K17" s="23">
        <f>303/356</f>
        <v>0.851123595505618</v>
      </c>
      <c r="L17" s="5">
        <v>645</v>
      </c>
      <c r="M17" s="5">
        <v>383</v>
      </c>
      <c r="N17" s="16" t="s">
        <v>15</v>
      </c>
      <c r="O17" s="6">
        <v>0.88439999999999996</v>
      </c>
      <c r="P17" s="6">
        <v>0.87719999999999998</v>
      </c>
      <c r="Q17" s="23">
        <f>161/199</f>
        <v>0.80904522613065322</v>
      </c>
      <c r="R17" s="7">
        <v>389</v>
      </c>
      <c r="S17" s="7">
        <v>219</v>
      </c>
      <c r="T17" s="2" t="s">
        <v>17</v>
      </c>
      <c r="U17" s="4">
        <v>0.79986000000000002</v>
      </c>
      <c r="V17" s="4">
        <v>0.81130999999999998</v>
      </c>
      <c r="W17" s="23">
        <f>22/38</f>
        <v>0.57894736842105265</v>
      </c>
      <c r="X17" s="5">
        <v>80</v>
      </c>
      <c r="Y17" s="5">
        <v>39</v>
      </c>
      <c r="Z17" s="3" t="s">
        <v>19</v>
      </c>
      <c r="AA17" s="6">
        <v>0.67900000000000005</v>
      </c>
      <c r="AB17" s="6">
        <v>0.67493000000000003</v>
      </c>
      <c r="AC17" s="23">
        <f>9/21</f>
        <v>0.42857142857142855</v>
      </c>
      <c r="AD17" s="7">
        <v>45</v>
      </c>
      <c r="AE17" s="7">
        <v>22</v>
      </c>
    </row>
    <row r="18" spans="1:32" x14ac:dyDescent="0.35">
      <c r="A18" s="15"/>
      <c r="C18" s="21"/>
      <c r="D18" s="21"/>
      <c r="I18" s="21"/>
      <c r="J18" s="21"/>
      <c r="K18" s="21"/>
      <c r="U18" s="21"/>
      <c r="V18" s="21"/>
      <c r="W18" s="21"/>
      <c r="AA18" s="21"/>
    </row>
    <row r="19" spans="1:32" ht="28.25" customHeight="1" x14ac:dyDescent="0.35">
      <c r="B19" s="26" t="s">
        <v>52</v>
      </c>
      <c r="H19" s="26" t="s">
        <v>11</v>
      </c>
      <c r="N19" s="26" t="s">
        <v>53</v>
      </c>
      <c r="T19" s="26" t="s">
        <v>54</v>
      </c>
      <c r="Z19" s="29" t="s">
        <v>55</v>
      </c>
      <c r="AA19" s="29"/>
      <c r="AB19" s="29"/>
      <c r="AC19" s="29"/>
      <c r="AD19" s="29"/>
      <c r="AE19" s="29"/>
      <c r="AF19" s="29"/>
    </row>
    <row r="22" spans="1:32" x14ac:dyDescent="0.35">
      <c r="B22" s="28" t="s">
        <v>56</v>
      </c>
    </row>
    <row r="23" spans="1:32" x14ac:dyDescent="0.35">
      <c r="B23" s="28" t="s">
        <v>57</v>
      </c>
    </row>
    <row r="24" spans="1:32" x14ac:dyDescent="0.35">
      <c r="B24" s="28" t="s">
        <v>58</v>
      </c>
    </row>
    <row r="25" spans="1:32" x14ac:dyDescent="0.35">
      <c r="B25" s="28" t="s">
        <v>62</v>
      </c>
    </row>
    <row r="26" spans="1:32" ht="29" x14ac:dyDescent="0.35">
      <c r="B26" s="28" t="s">
        <v>61</v>
      </c>
    </row>
    <row r="27" spans="1:32" x14ac:dyDescent="0.35">
      <c r="B27" s="28" t="s">
        <v>59</v>
      </c>
    </row>
  </sheetData>
  <autoFilter ref="A1:AE20" xr:uid="{CC41B1E4-B31E-4741-897F-F1AA48D3FA95}"/>
  <sortState ref="A2:AE17">
    <sortCondition descending="1" ref="T2:T17"/>
    <sortCondition descending="1" ref="Z2:Z17"/>
  </sortState>
  <mergeCells count="1">
    <mergeCell ref="Z19:AF19"/>
  </mergeCells>
  <conditionalFormatting sqref="O2:O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:P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Q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:U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:V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:W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:AA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:AB1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:AC1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E2AC-40CD-49D4-A40A-E3D49747B63F}">
  <dimension ref="A1:AF27"/>
  <sheetViews>
    <sheetView zoomScale="98" zoomScaleNormal="98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5" sqref="D25"/>
    </sheetView>
  </sheetViews>
  <sheetFormatPr defaultColWidth="8.81640625" defaultRowHeight="14.5" x14ac:dyDescent="0.35"/>
  <cols>
    <col min="1" max="1" width="4.1796875" style="1" bestFit="1" customWidth="1"/>
    <col min="2" max="2" width="26.1796875" style="1" customWidth="1"/>
    <col min="3" max="3" width="9.453125" style="19" customWidth="1"/>
    <col min="4" max="4" width="10.1796875" style="19" customWidth="1"/>
    <col min="5" max="5" width="10.1796875" style="21" customWidth="1"/>
    <col min="6" max="6" width="10" style="20" customWidth="1"/>
    <col min="7" max="7" width="8.81640625" style="20" customWidth="1"/>
    <col min="8" max="8" width="8.81640625" style="1"/>
    <col min="9" max="9" width="9.81640625" style="19" customWidth="1"/>
    <col min="10" max="10" width="8.81640625" style="19" customWidth="1"/>
    <col min="11" max="11" width="10" style="19" customWidth="1"/>
    <col min="12" max="12" width="10.36328125" style="20" customWidth="1"/>
    <col min="13" max="13" width="8.81640625" style="20" customWidth="1"/>
    <col min="14" max="14" width="8.81640625" style="15"/>
    <col min="15" max="17" width="8.81640625" style="21" customWidth="1"/>
    <col min="18" max="18" width="11" style="20" customWidth="1"/>
    <col min="19" max="19" width="8.81640625" style="20" customWidth="1"/>
    <col min="20" max="20" width="14.81640625" style="1" customWidth="1"/>
    <col min="21" max="21" width="8.81640625" style="19" customWidth="1"/>
    <col min="22" max="22" width="11.6328125" style="19" customWidth="1"/>
    <col min="23" max="23" width="9.81640625" style="19" customWidth="1"/>
    <col min="24" max="24" width="10.1796875" style="20" customWidth="1"/>
    <col min="25" max="25" width="9.453125" style="20" customWidth="1"/>
    <col min="26" max="26" width="13" style="1" customWidth="1"/>
    <col min="27" max="27" width="8.81640625" style="19" customWidth="1"/>
    <col min="28" max="28" width="8.81640625" style="21" customWidth="1"/>
    <col min="29" max="29" width="10" style="21" customWidth="1"/>
    <col min="30" max="30" width="10.81640625" style="20" customWidth="1"/>
    <col min="31" max="31" width="8.81640625" style="20" customWidth="1"/>
    <col min="32" max="16384" width="8.81640625" style="1"/>
  </cols>
  <sheetData>
    <row r="1" spans="1:31" ht="29" x14ac:dyDescent="0.35">
      <c r="A1" s="14" t="s">
        <v>0</v>
      </c>
      <c r="B1" s="11" t="s">
        <v>1</v>
      </c>
      <c r="C1" s="12" t="s">
        <v>67</v>
      </c>
      <c r="D1" s="12" t="s">
        <v>66</v>
      </c>
      <c r="E1" s="24" t="s">
        <v>3</v>
      </c>
      <c r="F1" s="13" t="s">
        <v>4</v>
      </c>
      <c r="G1" s="13" t="s">
        <v>5</v>
      </c>
      <c r="H1" s="8" t="s">
        <v>2</v>
      </c>
      <c r="I1" s="9" t="s">
        <v>67</v>
      </c>
      <c r="J1" s="9" t="s">
        <v>66</v>
      </c>
      <c r="K1" s="22" t="s">
        <v>3</v>
      </c>
      <c r="L1" s="10" t="s">
        <v>4</v>
      </c>
      <c r="M1" s="10" t="s">
        <v>5</v>
      </c>
      <c r="N1" s="18" t="s">
        <v>10</v>
      </c>
      <c r="O1" s="12" t="s">
        <v>67</v>
      </c>
      <c r="P1" s="12" t="s">
        <v>66</v>
      </c>
      <c r="Q1" s="24" t="s">
        <v>3</v>
      </c>
      <c r="R1" s="13" t="s">
        <v>4</v>
      </c>
      <c r="S1" s="13" t="s">
        <v>5</v>
      </c>
      <c r="T1" s="8" t="s">
        <v>6</v>
      </c>
      <c r="U1" s="9" t="s">
        <v>67</v>
      </c>
      <c r="V1" s="9" t="s">
        <v>66</v>
      </c>
      <c r="W1" s="24" t="s">
        <v>3</v>
      </c>
      <c r="X1" s="10" t="s">
        <v>4</v>
      </c>
      <c r="Y1" s="10" t="s">
        <v>5</v>
      </c>
      <c r="Z1" s="18" t="s">
        <v>7</v>
      </c>
      <c r="AA1" s="12" t="s">
        <v>67</v>
      </c>
      <c r="AB1" s="12" t="s">
        <v>66</v>
      </c>
      <c r="AC1" s="24" t="s">
        <v>3</v>
      </c>
      <c r="AD1" s="13" t="s">
        <v>4</v>
      </c>
      <c r="AE1" s="13" t="s">
        <v>5</v>
      </c>
    </row>
    <row r="2" spans="1:31" x14ac:dyDescent="0.35">
      <c r="A2" s="15" t="s">
        <v>36</v>
      </c>
      <c r="B2" s="3" t="s">
        <v>8</v>
      </c>
      <c r="C2" s="6">
        <v>0.96875</v>
      </c>
      <c r="D2" s="6">
        <v>0.97016999999999998</v>
      </c>
      <c r="E2" s="23">
        <f t="shared" ref="E2:E17" si="0">492/518</f>
        <v>0.9498069498069498</v>
      </c>
      <c r="F2" s="7">
        <v>1237</v>
      </c>
      <c r="G2" s="7">
        <v>573</v>
      </c>
      <c r="H2" s="2" t="s">
        <v>12</v>
      </c>
      <c r="I2" s="4">
        <v>0.97687999999999997</v>
      </c>
      <c r="J2" s="4">
        <v>0.97538000000000002</v>
      </c>
      <c r="K2" s="23">
        <f>345/352</f>
        <v>0.98011363636363635</v>
      </c>
      <c r="L2" s="5">
        <v>923</v>
      </c>
      <c r="M2" s="5">
        <v>387</v>
      </c>
      <c r="N2" s="16" t="s">
        <v>14</v>
      </c>
      <c r="O2" s="6">
        <v>0.99180000000000001</v>
      </c>
      <c r="P2" s="6">
        <v>0.99084000000000005</v>
      </c>
      <c r="Q2" s="23">
        <f>262/263</f>
        <v>0.99619771863117867</v>
      </c>
      <c r="R2" s="7">
        <v>499</v>
      </c>
      <c r="S2" s="7">
        <v>281</v>
      </c>
      <c r="T2" s="2" t="s">
        <v>16</v>
      </c>
      <c r="U2" s="4">
        <v>0.99460000000000004</v>
      </c>
      <c r="V2" s="4">
        <v>0.99360000000000004</v>
      </c>
      <c r="W2" s="23">
        <f>239/240</f>
        <v>0.99583333333333335</v>
      </c>
      <c r="X2" s="5">
        <v>446</v>
      </c>
      <c r="Y2" s="5">
        <v>244</v>
      </c>
      <c r="Z2" s="16" t="s">
        <v>18</v>
      </c>
      <c r="AA2" s="6">
        <v>0.99753000000000003</v>
      </c>
      <c r="AB2" s="6">
        <v>0.99753000000000003</v>
      </c>
      <c r="AC2" s="23">
        <f>206/207</f>
        <v>0.99516908212560384</v>
      </c>
      <c r="AD2" s="7">
        <v>377</v>
      </c>
      <c r="AE2" s="7">
        <v>210</v>
      </c>
    </row>
    <row r="3" spans="1:31" x14ac:dyDescent="0.35">
      <c r="A3" s="15" t="s">
        <v>37</v>
      </c>
      <c r="B3" s="3" t="s">
        <v>8</v>
      </c>
      <c r="C3" s="6">
        <v>0.96875</v>
      </c>
      <c r="D3" s="6">
        <v>0.97016999999999998</v>
      </c>
      <c r="E3" s="23">
        <f t="shared" si="0"/>
        <v>0.9498069498069498</v>
      </c>
      <c r="F3" s="7">
        <v>1237</v>
      </c>
      <c r="G3" s="7">
        <v>573</v>
      </c>
      <c r="H3" s="2" t="s">
        <v>13</v>
      </c>
      <c r="I3" s="4">
        <v>0.94484000000000001</v>
      </c>
      <c r="J3" s="4">
        <v>0.95482999999999996</v>
      </c>
      <c r="K3" s="23">
        <f>147/166</f>
        <v>0.88554216867469882</v>
      </c>
      <c r="L3" s="5">
        <v>314</v>
      </c>
      <c r="M3" s="5">
        <v>186</v>
      </c>
      <c r="N3" s="16" t="s">
        <v>14</v>
      </c>
      <c r="O3" s="6">
        <v>0.96023999999999998</v>
      </c>
      <c r="P3" s="6">
        <v>0.96452000000000004</v>
      </c>
      <c r="Q3" s="23">
        <f>71/73</f>
        <v>0.9726027397260274</v>
      </c>
      <c r="R3" s="7">
        <v>118</v>
      </c>
      <c r="S3" s="7">
        <v>79</v>
      </c>
      <c r="T3" s="2" t="s">
        <v>16</v>
      </c>
      <c r="U3" s="4">
        <v>0.95992</v>
      </c>
      <c r="V3" s="4">
        <v>0.96380999999999994</v>
      </c>
      <c r="W3" s="23">
        <f>66/67</f>
        <v>0.9850746268656716</v>
      </c>
      <c r="X3" s="5">
        <v>102</v>
      </c>
      <c r="Y3" s="5">
        <v>67</v>
      </c>
      <c r="Z3" s="16" t="s">
        <v>18</v>
      </c>
      <c r="AA3" s="6">
        <v>0.98097000000000001</v>
      </c>
      <c r="AB3" s="6">
        <v>0.98096000000000005</v>
      </c>
      <c r="AC3" s="23">
        <f>59/60</f>
        <v>0.98333333333333328</v>
      </c>
      <c r="AD3" s="7">
        <v>80</v>
      </c>
      <c r="AE3" s="7">
        <v>60</v>
      </c>
    </row>
    <row r="4" spans="1:31" x14ac:dyDescent="0.35">
      <c r="A4" s="15" t="s">
        <v>38</v>
      </c>
      <c r="B4" s="3" t="s">
        <v>8</v>
      </c>
      <c r="C4" s="6">
        <v>0.96875</v>
      </c>
      <c r="D4" s="6">
        <v>0.97016999999999998</v>
      </c>
      <c r="E4" s="23">
        <f t="shared" si="0"/>
        <v>0.9498069498069498</v>
      </c>
      <c r="F4" s="7">
        <v>1237</v>
      </c>
      <c r="G4" s="7">
        <v>573</v>
      </c>
      <c r="H4" s="2" t="s">
        <v>12</v>
      </c>
      <c r="I4" s="4">
        <v>0.97687999999999997</v>
      </c>
      <c r="J4" s="4">
        <v>0.97538000000000002</v>
      </c>
      <c r="K4" s="23">
        <f>345/352</f>
        <v>0.98011363636363635</v>
      </c>
      <c r="L4" s="5">
        <v>923</v>
      </c>
      <c r="M4" s="5">
        <v>387</v>
      </c>
      <c r="N4" s="16" t="s">
        <v>15</v>
      </c>
      <c r="O4" s="6">
        <v>0.96126999999999996</v>
      </c>
      <c r="P4" s="6">
        <v>0.95921000000000001</v>
      </c>
      <c r="Q4" s="23">
        <f>71/76</f>
        <v>0.93421052631578949</v>
      </c>
      <c r="R4" s="7">
        <v>400</v>
      </c>
      <c r="S4" s="7">
        <v>91</v>
      </c>
      <c r="T4" s="2" t="s">
        <v>16</v>
      </c>
      <c r="U4" s="4">
        <v>0.96055999999999997</v>
      </c>
      <c r="V4" s="4">
        <v>0.95931999999999995</v>
      </c>
      <c r="W4" s="23">
        <f>58/61</f>
        <v>0.95081967213114749</v>
      </c>
      <c r="X4" s="5">
        <v>345</v>
      </c>
      <c r="Y4" s="5">
        <v>61</v>
      </c>
      <c r="Z4" s="16" t="s">
        <v>18</v>
      </c>
      <c r="AA4" s="6">
        <v>0.9647</v>
      </c>
      <c r="AB4" s="6">
        <v>0.96462000000000003</v>
      </c>
      <c r="AC4" s="23">
        <f>54/55</f>
        <v>0.98181818181818181</v>
      </c>
      <c r="AD4" s="7">
        <v>291</v>
      </c>
      <c r="AE4" s="7">
        <v>55</v>
      </c>
    </row>
    <row r="5" spans="1:31" x14ac:dyDescent="0.35">
      <c r="A5" s="15" t="s">
        <v>39</v>
      </c>
      <c r="B5" s="3" t="s">
        <v>8</v>
      </c>
      <c r="C5" s="6">
        <v>0.96875</v>
      </c>
      <c r="D5" s="6">
        <v>0.97016999999999998</v>
      </c>
      <c r="E5" s="23">
        <f t="shared" si="0"/>
        <v>0.9498069498069498</v>
      </c>
      <c r="F5" s="7">
        <v>1237</v>
      </c>
      <c r="G5" s="7">
        <v>573</v>
      </c>
      <c r="H5" s="2" t="s">
        <v>13</v>
      </c>
      <c r="I5" s="4">
        <v>0.94484000000000001</v>
      </c>
      <c r="J5" s="4">
        <v>0.95482999999999996</v>
      </c>
      <c r="K5" s="23">
        <f>147/166</f>
        <v>0.88554216867469882</v>
      </c>
      <c r="L5" s="5">
        <v>314</v>
      </c>
      <c r="M5" s="5">
        <v>186</v>
      </c>
      <c r="N5" s="16" t="s">
        <v>15</v>
      </c>
      <c r="O5" s="6">
        <v>0.92871000000000004</v>
      </c>
      <c r="P5" s="6">
        <v>0.94469000000000003</v>
      </c>
      <c r="Q5" s="23">
        <f>72/87</f>
        <v>0.82758620689655171</v>
      </c>
      <c r="R5" s="7">
        <v>191</v>
      </c>
      <c r="S5" s="7">
        <v>101</v>
      </c>
      <c r="T5" s="2" t="s">
        <v>16</v>
      </c>
      <c r="U5" s="4">
        <v>0.94101000000000001</v>
      </c>
      <c r="V5" s="4">
        <v>0.95508000000000004</v>
      </c>
      <c r="W5" s="23">
        <f>59/63</f>
        <v>0.93650793650793651</v>
      </c>
      <c r="X5" s="5">
        <v>147</v>
      </c>
      <c r="Y5" s="5">
        <v>65</v>
      </c>
      <c r="Z5" s="16" t="s">
        <v>18</v>
      </c>
      <c r="AA5" s="6">
        <v>0.96733000000000002</v>
      </c>
      <c r="AB5" s="6">
        <v>0.96775</v>
      </c>
      <c r="AC5" s="23">
        <f>48/50</f>
        <v>0.96</v>
      </c>
      <c r="AD5" s="7">
        <v>112</v>
      </c>
      <c r="AE5" s="7">
        <v>51</v>
      </c>
    </row>
    <row r="6" spans="1:31" x14ac:dyDescent="0.35">
      <c r="A6" s="15" t="s">
        <v>44</v>
      </c>
      <c r="B6" s="3" t="s">
        <v>8</v>
      </c>
      <c r="C6" s="6">
        <v>0.96875</v>
      </c>
      <c r="D6" s="6">
        <v>0.97016999999999998</v>
      </c>
      <c r="E6" s="23">
        <f t="shared" si="0"/>
        <v>0.9498069498069498</v>
      </c>
      <c r="F6" s="7">
        <v>1237</v>
      </c>
      <c r="G6" s="7">
        <v>573</v>
      </c>
      <c r="H6" s="2" t="s">
        <v>12</v>
      </c>
      <c r="I6" s="4">
        <v>0.97687999999999997</v>
      </c>
      <c r="J6" s="4">
        <v>0.97538000000000002</v>
      </c>
      <c r="K6" s="23">
        <f>345/352</f>
        <v>0.98011363636363635</v>
      </c>
      <c r="L6" s="5">
        <v>923</v>
      </c>
      <c r="M6" s="5">
        <v>387</v>
      </c>
      <c r="N6" s="16" t="s">
        <v>14</v>
      </c>
      <c r="O6" s="6">
        <v>0.99180000000000001</v>
      </c>
      <c r="P6" s="6">
        <v>0.99084000000000005</v>
      </c>
      <c r="Q6" s="23">
        <f>262/263</f>
        <v>0.99619771863117867</v>
      </c>
      <c r="R6" s="7">
        <v>499</v>
      </c>
      <c r="S6" s="7">
        <v>281</v>
      </c>
      <c r="T6" s="2" t="s">
        <v>16</v>
      </c>
      <c r="U6" s="4">
        <v>0.99460000000000004</v>
      </c>
      <c r="V6" s="4">
        <v>0.99360000000000004</v>
      </c>
      <c r="W6" s="23">
        <f>239/240</f>
        <v>0.99583333333333335</v>
      </c>
      <c r="X6" s="5">
        <v>446</v>
      </c>
      <c r="Y6" s="5">
        <v>244</v>
      </c>
      <c r="Z6" s="16" t="s">
        <v>19</v>
      </c>
      <c r="AA6" s="6">
        <v>0.95287999999999995</v>
      </c>
      <c r="AB6" s="6">
        <v>0.95376000000000005</v>
      </c>
      <c r="AC6" s="23">
        <f>9/9</f>
        <v>1</v>
      </c>
      <c r="AD6" s="7">
        <v>23</v>
      </c>
      <c r="AE6" s="7">
        <v>9</v>
      </c>
    </row>
    <row r="7" spans="1:31" x14ac:dyDescent="0.35">
      <c r="A7" s="15" t="s">
        <v>45</v>
      </c>
      <c r="B7" s="3" t="s">
        <v>8</v>
      </c>
      <c r="C7" s="6">
        <v>0.96875</v>
      </c>
      <c r="D7" s="6">
        <v>0.97016999999999998</v>
      </c>
      <c r="E7" s="23">
        <f t="shared" si="0"/>
        <v>0.9498069498069498</v>
      </c>
      <c r="F7" s="7">
        <v>1237</v>
      </c>
      <c r="G7" s="7">
        <v>573</v>
      </c>
      <c r="H7" s="2" t="s">
        <v>13</v>
      </c>
      <c r="I7" s="4">
        <v>0.94484000000000001</v>
      </c>
      <c r="J7" s="4">
        <v>0.95482999999999996</v>
      </c>
      <c r="K7" s="23">
        <f>147/166</f>
        <v>0.88554216867469882</v>
      </c>
      <c r="L7" s="5">
        <v>314</v>
      </c>
      <c r="M7" s="5">
        <v>186</v>
      </c>
      <c r="N7" s="16" t="s">
        <v>14</v>
      </c>
      <c r="O7" s="6">
        <v>0.96023999999999998</v>
      </c>
      <c r="P7" s="6">
        <v>0.96452000000000004</v>
      </c>
      <c r="Q7" s="23">
        <f>71/73</f>
        <v>0.9726027397260274</v>
      </c>
      <c r="R7" s="7">
        <v>118</v>
      </c>
      <c r="S7" s="7">
        <v>79</v>
      </c>
      <c r="T7" s="2" t="s">
        <v>16</v>
      </c>
      <c r="U7" s="4">
        <v>0.95992</v>
      </c>
      <c r="V7" s="4">
        <v>0.96380999999999994</v>
      </c>
      <c r="W7" s="23">
        <f>66/67</f>
        <v>0.9850746268656716</v>
      </c>
      <c r="X7" s="5">
        <v>102</v>
      </c>
      <c r="Y7" s="5">
        <v>67</v>
      </c>
      <c r="Z7" s="16" t="s">
        <v>19</v>
      </c>
      <c r="AA7" s="6">
        <v>0.79435</v>
      </c>
      <c r="AB7" s="6">
        <v>0.78966999999999998</v>
      </c>
      <c r="AC7" s="23">
        <f>2/2</f>
        <v>1</v>
      </c>
      <c r="AD7" s="7">
        <v>9</v>
      </c>
      <c r="AE7" s="7">
        <v>2</v>
      </c>
    </row>
    <row r="8" spans="1:31" x14ac:dyDescent="0.35">
      <c r="A8" s="15" t="s">
        <v>47</v>
      </c>
      <c r="B8" s="3" t="s">
        <v>8</v>
      </c>
      <c r="C8" s="6">
        <v>0.96875</v>
      </c>
      <c r="D8" s="6">
        <v>0.97016999999999998</v>
      </c>
      <c r="E8" s="23">
        <f t="shared" si="0"/>
        <v>0.9498069498069498</v>
      </c>
      <c r="F8" s="7">
        <v>1237</v>
      </c>
      <c r="G8" s="7">
        <v>573</v>
      </c>
      <c r="H8" s="2" t="s">
        <v>13</v>
      </c>
      <c r="I8" s="4">
        <v>0.94484000000000001</v>
      </c>
      <c r="J8" s="4">
        <v>0.95482999999999996</v>
      </c>
      <c r="K8" s="23">
        <f>147/166</f>
        <v>0.88554216867469882</v>
      </c>
      <c r="L8" s="5">
        <v>314</v>
      </c>
      <c r="M8" s="5">
        <v>186</v>
      </c>
      <c r="N8" s="16" t="s">
        <v>15</v>
      </c>
      <c r="O8" s="6">
        <v>0.92871000000000004</v>
      </c>
      <c r="P8" s="6">
        <v>0.94469000000000003</v>
      </c>
      <c r="Q8" s="23">
        <f>72/87</f>
        <v>0.82758620689655171</v>
      </c>
      <c r="R8" s="7">
        <v>191</v>
      </c>
      <c r="S8" s="7">
        <v>101</v>
      </c>
      <c r="T8" s="2" t="s">
        <v>16</v>
      </c>
      <c r="U8" s="4">
        <v>0.94101000000000001</v>
      </c>
      <c r="V8" s="4">
        <v>0.95508000000000004</v>
      </c>
      <c r="W8" s="23">
        <f>59/63</f>
        <v>0.93650793650793651</v>
      </c>
      <c r="X8" s="5">
        <v>147</v>
      </c>
      <c r="Y8" s="5">
        <v>65</v>
      </c>
      <c r="Z8" s="16" t="s">
        <v>19</v>
      </c>
      <c r="AA8" s="6">
        <v>0.83023000000000002</v>
      </c>
      <c r="AB8" s="6">
        <v>0.82654000000000005</v>
      </c>
      <c r="AC8" s="23">
        <f>7/9</f>
        <v>0.77777777777777779</v>
      </c>
      <c r="AD8" s="7">
        <v>20</v>
      </c>
      <c r="AE8" s="7">
        <v>10</v>
      </c>
    </row>
    <row r="9" spans="1:31" x14ac:dyDescent="0.35">
      <c r="A9" s="15" t="s">
        <v>46</v>
      </c>
      <c r="B9" s="3" t="s">
        <v>8</v>
      </c>
      <c r="C9" s="6">
        <v>0.96875</v>
      </c>
      <c r="D9" s="6">
        <v>0.97016999999999998</v>
      </c>
      <c r="E9" s="23">
        <f t="shared" si="0"/>
        <v>0.9498069498069498</v>
      </c>
      <c r="F9" s="7">
        <v>1237</v>
      </c>
      <c r="G9" s="7">
        <v>573</v>
      </c>
      <c r="H9" s="2" t="s">
        <v>12</v>
      </c>
      <c r="I9" s="4">
        <v>0.97687999999999997</v>
      </c>
      <c r="J9" s="4">
        <v>0.97538000000000002</v>
      </c>
      <c r="K9" s="23">
        <f>345/352</f>
        <v>0.98011363636363635</v>
      </c>
      <c r="L9" s="5">
        <v>923</v>
      </c>
      <c r="M9" s="5">
        <v>387</v>
      </c>
      <c r="N9" s="16" t="s">
        <v>15</v>
      </c>
      <c r="O9" s="6">
        <v>0.96126999999999996</v>
      </c>
      <c r="P9" s="6">
        <v>0.95921000000000001</v>
      </c>
      <c r="Q9" s="23">
        <f>71/76</f>
        <v>0.93421052631578949</v>
      </c>
      <c r="R9" s="7">
        <v>400</v>
      </c>
      <c r="S9" s="7">
        <v>91</v>
      </c>
      <c r="T9" s="2" t="s">
        <v>16</v>
      </c>
      <c r="U9" s="4">
        <v>0.96055999999999997</v>
      </c>
      <c r="V9" s="4">
        <v>0.95931999999999995</v>
      </c>
      <c r="W9" s="23">
        <f>58/61</f>
        <v>0.95081967213114749</v>
      </c>
      <c r="X9" s="5">
        <v>345</v>
      </c>
      <c r="Y9" s="5">
        <v>61</v>
      </c>
      <c r="Z9" s="16" t="s">
        <v>19</v>
      </c>
      <c r="AA9" s="6">
        <v>0.90031000000000005</v>
      </c>
      <c r="AB9" s="6">
        <v>0.90551000000000004</v>
      </c>
      <c r="AC9" s="23">
        <f>2/4</f>
        <v>0.5</v>
      </c>
      <c r="AD9" s="7">
        <v>18</v>
      </c>
      <c r="AE9" s="7">
        <v>4</v>
      </c>
    </row>
    <row r="10" spans="1:31" x14ac:dyDescent="0.35">
      <c r="A10" s="15" t="s">
        <v>40</v>
      </c>
      <c r="B10" s="3" t="s">
        <v>8</v>
      </c>
      <c r="C10" s="6">
        <v>0.96875</v>
      </c>
      <c r="D10" s="6">
        <v>0.97016999999999998</v>
      </c>
      <c r="E10" s="23">
        <f t="shared" si="0"/>
        <v>0.9498069498069498</v>
      </c>
      <c r="F10" s="7">
        <v>1237</v>
      </c>
      <c r="G10" s="7">
        <v>573</v>
      </c>
      <c r="H10" s="2" t="s">
        <v>12</v>
      </c>
      <c r="I10" s="4">
        <v>0.97687999999999997</v>
      </c>
      <c r="J10" s="4">
        <v>0.97538000000000002</v>
      </c>
      <c r="K10" s="23">
        <f>345/352</f>
        <v>0.98011363636363635</v>
      </c>
      <c r="L10" s="5">
        <v>923</v>
      </c>
      <c r="M10" s="5">
        <v>387</v>
      </c>
      <c r="N10" s="16" t="s">
        <v>14</v>
      </c>
      <c r="O10" s="6">
        <v>0.99180000000000001</v>
      </c>
      <c r="P10" s="6">
        <v>0.99084000000000005</v>
      </c>
      <c r="Q10" s="23">
        <f>262/263</f>
        <v>0.99619771863117867</v>
      </c>
      <c r="R10" s="7">
        <v>499</v>
      </c>
      <c r="S10" s="7">
        <v>281</v>
      </c>
      <c r="T10" s="2" t="s">
        <v>17</v>
      </c>
      <c r="U10" s="4">
        <v>0.96809000000000001</v>
      </c>
      <c r="V10" s="4">
        <v>0.96743999999999997</v>
      </c>
      <c r="W10" s="23">
        <f>20/21</f>
        <v>0.95238095238095233</v>
      </c>
      <c r="X10" s="5">
        <v>34</v>
      </c>
      <c r="Y10" s="5">
        <v>21</v>
      </c>
      <c r="Z10" s="16" t="s">
        <v>18</v>
      </c>
      <c r="AA10" s="6">
        <v>0.9698</v>
      </c>
      <c r="AB10" s="6">
        <v>0.96977999999999998</v>
      </c>
      <c r="AC10" s="23">
        <f>17/17</f>
        <v>1</v>
      </c>
      <c r="AD10" s="7">
        <v>29</v>
      </c>
      <c r="AE10" s="7">
        <v>17</v>
      </c>
    </row>
    <row r="11" spans="1:31" x14ac:dyDescent="0.35">
      <c r="A11" s="15" t="s">
        <v>41</v>
      </c>
      <c r="B11" s="3" t="s">
        <v>8</v>
      </c>
      <c r="C11" s="6">
        <v>0.96875</v>
      </c>
      <c r="D11" s="6">
        <v>0.97016999999999998</v>
      </c>
      <c r="E11" s="23">
        <f t="shared" si="0"/>
        <v>0.9498069498069498</v>
      </c>
      <c r="F11" s="7">
        <v>1237</v>
      </c>
      <c r="G11" s="7">
        <v>573</v>
      </c>
      <c r="H11" s="2" t="s">
        <v>13</v>
      </c>
      <c r="I11" s="4">
        <v>0.94484000000000001</v>
      </c>
      <c r="J11" s="4">
        <v>0.95482999999999996</v>
      </c>
      <c r="K11" s="23">
        <f>147/166</f>
        <v>0.88554216867469882</v>
      </c>
      <c r="L11" s="5">
        <v>314</v>
      </c>
      <c r="M11" s="5">
        <v>186</v>
      </c>
      <c r="N11" s="16" t="s">
        <v>14</v>
      </c>
      <c r="O11" s="6">
        <v>0.96023999999999998</v>
      </c>
      <c r="P11" s="6">
        <v>0.96452000000000004</v>
      </c>
      <c r="Q11" s="23">
        <f>71/73</f>
        <v>0.9726027397260274</v>
      </c>
      <c r="R11" s="7">
        <v>118</v>
      </c>
      <c r="S11" s="7">
        <v>79</v>
      </c>
      <c r="T11" s="2" t="s">
        <v>17</v>
      </c>
      <c r="U11" s="4">
        <v>0.96294999999999997</v>
      </c>
      <c r="V11" s="4">
        <v>0.97053999999999996</v>
      </c>
      <c r="W11" s="23">
        <f>4/4</f>
        <v>1</v>
      </c>
      <c r="X11" s="5">
        <v>12</v>
      </c>
      <c r="Y11" s="5">
        <v>4</v>
      </c>
      <c r="Z11" s="16" t="s">
        <v>18</v>
      </c>
      <c r="AA11" s="6">
        <v>1</v>
      </c>
      <c r="AB11" s="6">
        <v>1</v>
      </c>
      <c r="AC11" s="23">
        <f>2/2</f>
        <v>1</v>
      </c>
      <c r="AD11" s="7">
        <v>9</v>
      </c>
      <c r="AE11" s="7">
        <v>2</v>
      </c>
    </row>
    <row r="12" spans="1:31" x14ac:dyDescent="0.35">
      <c r="A12" s="15" t="s">
        <v>42</v>
      </c>
      <c r="B12" s="3" t="s">
        <v>8</v>
      </c>
      <c r="C12" s="6">
        <v>0.96875</v>
      </c>
      <c r="D12" s="6">
        <v>0.97016999999999998</v>
      </c>
      <c r="E12" s="23">
        <f t="shared" si="0"/>
        <v>0.9498069498069498</v>
      </c>
      <c r="F12" s="7">
        <v>1237</v>
      </c>
      <c r="G12" s="7">
        <v>573</v>
      </c>
      <c r="H12" s="2" t="s">
        <v>12</v>
      </c>
      <c r="I12" s="4">
        <v>0.97687999999999997</v>
      </c>
      <c r="J12" s="4">
        <v>0.97538000000000002</v>
      </c>
      <c r="K12" s="23">
        <f>345/352</f>
        <v>0.98011363636363635</v>
      </c>
      <c r="L12" s="5">
        <v>923</v>
      </c>
      <c r="M12" s="5">
        <v>387</v>
      </c>
      <c r="N12" s="16" t="s">
        <v>15</v>
      </c>
      <c r="O12" s="6">
        <v>0.96126999999999996</v>
      </c>
      <c r="P12" s="6">
        <v>0.95921000000000001</v>
      </c>
      <c r="Q12" s="23">
        <f>71/76</f>
        <v>0.93421052631578949</v>
      </c>
      <c r="R12" s="7">
        <v>400</v>
      </c>
      <c r="S12" s="7">
        <v>91</v>
      </c>
      <c r="T12" s="2" t="s">
        <v>17</v>
      </c>
      <c r="U12" s="4">
        <v>0.96735000000000004</v>
      </c>
      <c r="V12" s="4">
        <v>0.95833999999999997</v>
      </c>
      <c r="W12" s="23">
        <f>12/14</f>
        <v>0.8571428571428571</v>
      </c>
      <c r="X12" s="5">
        <v>41</v>
      </c>
      <c r="Y12" s="5">
        <v>14</v>
      </c>
      <c r="Z12" s="16" t="s">
        <v>18</v>
      </c>
      <c r="AA12" s="6">
        <v>0.99021000000000003</v>
      </c>
      <c r="AB12" s="6">
        <v>0.99021000000000003</v>
      </c>
      <c r="AC12" s="23">
        <f>9/10</f>
        <v>0.9</v>
      </c>
      <c r="AD12" s="7">
        <v>36</v>
      </c>
      <c r="AE12" s="7">
        <v>10</v>
      </c>
    </row>
    <row r="13" spans="1:31" x14ac:dyDescent="0.35">
      <c r="A13" s="15" t="s">
        <v>43</v>
      </c>
      <c r="B13" s="3" t="s">
        <v>8</v>
      </c>
      <c r="C13" s="6">
        <v>0.96875</v>
      </c>
      <c r="D13" s="6">
        <v>0.97016999999999998</v>
      </c>
      <c r="E13" s="23">
        <f t="shared" si="0"/>
        <v>0.9498069498069498</v>
      </c>
      <c r="F13" s="7">
        <v>1237</v>
      </c>
      <c r="G13" s="7">
        <v>573</v>
      </c>
      <c r="H13" s="2" t="s">
        <v>13</v>
      </c>
      <c r="I13" s="4">
        <v>0.94484000000000001</v>
      </c>
      <c r="J13" s="4">
        <v>0.95482999999999996</v>
      </c>
      <c r="K13" s="23">
        <f>147/166</f>
        <v>0.88554216867469882</v>
      </c>
      <c r="L13" s="5">
        <v>314</v>
      </c>
      <c r="M13" s="5">
        <v>186</v>
      </c>
      <c r="N13" s="16" t="s">
        <v>15</v>
      </c>
      <c r="O13" s="6">
        <v>0.92871000000000004</v>
      </c>
      <c r="P13" s="6">
        <v>0.94469000000000003</v>
      </c>
      <c r="Q13" s="23">
        <f>72/87</f>
        <v>0.82758620689655171</v>
      </c>
      <c r="R13" s="7">
        <v>191</v>
      </c>
      <c r="S13" s="7">
        <v>101</v>
      </c>
      <c r="T13" s="2" t="s">
        <v>17</v>
      </c>
      <c r="U13" s="4">
        <v>0.82464000000000004</v>
      </c>
      <c r="V13" s="4">
        <v>0.85672999999999999</v>
      </c>
      <c r="W13" s="23">
        <f>11/22</f>
        <v>0.5</v>
      </c>
      <c r="X13" s="5">
        <v>36</v>
      </c>
      <c r="Y13" s="5">
        <v>22</v>
      </c>
      <c r="Z13" s="16" t="s">
        <v>18</v>
      </c>
      <c r="AA13" s="6">
        <v>0.88309000000000004</v>
      </c>
      <c r="AB13" s="6">
        <v>0.88463999999999998</v>
      </c>
      <c r="AC13" s="23">
        <f>8/11</f>
        <v>0.72727272727272729</v>
      </c>
      <c r="AD13" s="7">
        <v>22</v>
      </c>
      <c r="AE13" s="7">
        <v>11</v>
      </c>
    </row>
    <row r="14" spans="1:31" x14ac:dyDescent="0.35">
      <c r="A14" s="15" t="s">
        <v>49</v>
      </c>
      <c r="B14" s="3" t="s">
        <v>8</v>
      </c>
      <c r="C14" s="6">
        <v>0.96875</v>
      </c>
      <c r="D14" s="6">
        <v>0.97016999999999998</v>
      </c>
      <c r="E14" s="23">
        <f t="shared" si="0"/>
        <v>0.9498069498069498</v>
      </c>
      <c r="F14" s="7">
        <v>1237</v>
      </c>
      <c r="G14" s="7">
        <v>573</v>
      </c>
      <c r="H14" s="2" t="s">
        <v>13</v>
      </c>
      <c r="I14" s="4">
        <v>0.94484000000000001</v>
      </c>
      <c r="J14" s="4">
        <v>0.95482999999999996</v>
      </c>
      <c r="K14" s="23">
        <f>147/166</f>
        <v>0.88554216867469882</v>
      </c>
      <c r="L14" s="5">
        <v>314</v>
      </c>
      <c r="M14" s="5">
        <v>186</v>
      </c>
      <c r="N14" s="16" t="s">
        <v>14</v>
      </c>
      <c r="O14" s="6">
        <v>0.96023999999999998</v>
      </c>
      <c r="P14" s="6">
        <v>0.96452000000000004</v>
      </c>
      <c r="Q14" s="23">
        <f>71/73</f>
        <v>0.9726027397260274</v>
      </c>
      <c r="R14" s="7">
        <v>118</v>
      </c>
      <c r="S14" s="7">
        <v>79</v>
      </c>
      <c r="T14" s="2" t="s">
        <v>17</v>
      </c>
      <c r="U14" s="4">
        <v>0.96294999999999997</v>
      </c>
      <c r="V14" s="4">
        <v>0.97053999999999996</v>
      </c>
      <c r="W14" s="23">
        <f>4/4</f>
        <v>1</v>
      </c>
      <c r="X14" s="5">
        <v>12</v>
      </c>
      <c r="Y14" s="5">
        <v>4</v>
      </c>
      <c r="Z14" s="16" t="s">
        <v>19</v>
      </c>
      <c r="AA14" s="6">
        <v>0.67149999999999999</v>
      </c>
      <c r="AB14" s="6">
        <v>0.67149000000000003</v>
      </c>
      <c r="AC14" s="23">
        <f>2/2</f>
        <v>1</v>
      </c>
      <c r="AD14" s="7">
        <v>3</v>
      </c>
      <c r="AE14" s="7">
        <v>2</v>
      </c>
    </row>
    <row r="15" spans="1:31" x14ac:dyDescent="0.35">
      <c r="A15" s="15" t="s">
        <v>50</v>
      </c>
      <c r="B15" s="3" t="s">
        <v>8</v>
      </c>
      <c r="C15" s="6">
        <v>0.96875</v>
      </c>
      <c r="D15" s="6">
        <v>0.97016999999999998</v>
      </c>
      <c r="E15" s="23">
        <f t="shared" si="0"/>
        <v>0.9498069498069498</v>
      </c>
      <c r="F15" s="7">
        <v>1237</v>
      </c>
      <c r="G15" s="7">
        <v>573</v>
      </c>
      <c r="H15" s="2" t="s">
        <v>12</v>
      </c>
      <c r="I15" s="4">
        <v>0.97687999999999997</v>
      </c>
      <c r="J15" s="4">
        <v>0.97538000000000002</v>
      </c>
      <c r="K15" s="23">
        <f>345/352</f>
        <v>0.98011363636363635</v>
      </c>
      <c r="L15" s="5">
        <v>923</v>
      </c>
      <c r="M15" s="5">
        <v>387</v>
      </c>
      <c r="N15" s="16" t="s">
        <v>15</v>
      </c>
      <c r="O15" s="6">
        <v>0.96126999999999996</v>
      </c>
      <c r="P15" s="6">
        <v>0.95921000000000001</v>
      </c>
      <c r="Q15" s="23">
        <f>71/76</f>
        <v>0.93421052631578949</v>
      </c>
      <c r="R15" s="7">
        <v>400</v>
      </c>
      <c r="S15" s="7">
        <v>91</v>
      </c>
      <c r="T15" s="2" t="s">
        <v>17</v>
      </c>
      <c r="U15" s="4">
        <v>0.96735000000000004</v>
      </c>
      <c r="V15" s="4">
        <v>0.95833999999999997</v>
      </c>
      <c r="W15" s="23">
        <f>12/14</f>
        <v>0.8571428571428571</v>
      </c>
      <c r="X15" s="5">
        <v>41</v>
      </c>
      <c r="Y15" s="5">
        <v>14</v>
      </c>
      <c r="Z15" s="16" t="s">
        <v>19</v>
      </c>
      <c r="AA15" s="6">
        <v>0.63483999999999996</v>
      </c>
      <c r="AB15" s="6">
        <v>0.63483000000000001</v>
      </c>
      <c r="AC15" s="23">
        <f>3/4</f>
        <v>0.75</v>
      </c>
      <c r="AD15" s="7">
        <v>4</v>
      </c>
      <c r="AE15" s="7">
        <v>4</v>
      </c>
    </row>
    <row r="16" spans="1:31" x14ac:dyDescent="0.35">
      <c r="A16" s="15" t="s">
        <v>51</v>
      </c>
      <c r="B16" s="3" t="s">
        <v>8</v>
      </c>
      <c r="C16" s="6">
        <v>0.96875</v>
      </c>
      <c r="D16" s="6">
        <v>0.97016999999999998</v>
      </c>
      <c r="E16" s="23">
        <f t="shared" si="0"/>
        <v>0.9498069498069498</v>
      </c>
      <c r="F16" s="7">
        <v>1237</v>
      </c>
      <c r="G16" s="7">
        <v>573</v>
      </c>
      <c r="H16" s="2" t="s">
        <v>13</v>
      </c>
      <c r="I16" s="4">
        <v>0.94484000000000001</v>
      </c>
      <c r="J16" s="4">
        <v>0.95482999999999996</v>
      </c>
      <c r="K16" s="23">
        <f>147/166</f>
        <v>0.88554216867469882</v>
      </c>
      <c r="L16" s="5">
        <v>314</v>
      </c>
      <c r="M16" s="5">
        <v>186</v>
      </c>
      <c r="N16" s="16" t="s">
        <v>15</v>
      </c>
      <c r="O16" s="6">
        <v>0.92871000000000004</v>
      </c>
      <c r="P16" s="6">
        <v>0.94469000000000003</v>
      </c>
      <c r="Q16" s="23">
        <f>72/87</f>
        <v>0.82758620689655171</v>
      </c>
      <c r="R16" s="7">
        <v>191</v>
      </c>
      <c r="S16" s="7">
        <v>101</v>
      </c>
      <c r="T16" s="2" t="s">
        <v>17</v>
      </c>
      <c r="U16" s="4">
        <v>0.82464000000000004</v>
      </c>
      <c r="V16" s="4">
        <v>0.85672999999999999</v>
      </c>
      <c r="W16" s="23">
        <f>11/22</f>
        <v>0.5</v>
      </c>
      <c r="X16" s="5">
        <v>36</v>
      </c>
      <c r="Y16" s="5">
        <v>22</v>
      </c>
      <c r="Z16" s="16" t="s">
        <v>19</v>
      </c>
      <c r="AA16" s="6">
        <v>0.57869000000000004</v>
      </c>
      <c r="AB16" s="6">
        <v>0.57333000000000001</v>
      </c>
      <c r="AC16" s="23">
        <f>3/11</f>
        <v>0.27272727272727271</v>
      </c>
      <c r="AD16" s="7">
        <v>13</v>
      </c>
      <c r="AE16" s="7">
        <v>11</v>
      </c>
    </row>
    <row r="17" spans="1:32" x14ac:dyDescent="0.35">
      <c r="A17" s="15" t="s">
        <v>48</v>
      </c>
      <c r="B17" s="3" t="s">
        <v>8</v>
      </c>
      <c r="C17" s="6">
        <v>0.96875</v>
      </c>
      <c r="D17" s="6">
        <v>0.97016999999999998</v>
      </c>
      <c r="E17" s="23">
        <f t="shared" si="0"/>
        <v>0.9498069498069498</v>
      </c>
      <c r="F17" s="7">
        <v>1237</v>
      </c>
      <c r="G17" s="7">
        <v>573</v>
      </c>
      <c r="H17" s="2" t="s">
        <v>12</v>
      </c>
      <c r="I17" s="4">
        <v>0.97687999999999997</v>
      </c>
      <c r="J17" s="4">
        <v>0.97538000000000002</v>
      </c>
      <c r="K17" s="23">
        <f>345/352</f>
        <v>0.98011363636363635</v>
      </c>
      <c r="L17" s="5">
        <v>923</v>
      </c>
      <c r="M17" s="5">
        <v>387</v>
      </c>
      <c r="N17" s="16" t="s">
        <v>14</v>
      </c>
      <c r="O17" s="6">
        <v>0.99180000000000001</v>
      </c>
      <c r="P17" s="6">
        <v>0.99084000000000005</v>
      </c>
      <c r="Q17" s="23">
        <f>262/263</f>
        <v>0.99619771863117867</v>
      </c>
      <c r="R17" s="7">
        <v>499</v>
      </c>
      <c r="S17" s="7">
        <v>281</v>
      </c>
      <c r="T17" s="2" t="s">
        <v>17</v>
      </c>
      <c r="U17" s="4">
        <v>0.96809000000000001</v>
      </c>
      <c r="V17" s="4">
        <v>0.96743999999999997</v>
      </c>
      <c r="W17" s="23">
        <f>20/21</f>
        <v>0.95238095238095233</v>
      </c>
      <c r="X17" s="5">
        <v>34</v>
      </c>
      <c r="Y17" s="5">
        <v>21</v>
      </c>
      <c r="Z17" s="16" t="s">
        <v>19</v>
      </c>
      <c r="AA17" s="6">
        <v>0.94374999999999998</v>
      </c>
      <c r="AB17" s="6">
        <v>0.94374999999999998</v>
      </c>
      <c r="AC17" s="23">
        <f>0/1</f>
        <v>0</v>
      </c>
      <c r="AD17" s="7">
        <v>4</v>
      </c>
      <c r="AE17" s="7">
        <v>1</v>
      </c>
    </row>
    <row r="18" spans="1:32" x14ac:dyDescent="0.35">
      <c r="A18" s="15"/>
      <c r="C18" s="21"/>
      <c r="D18" s="21"/>
      <c r="I18" s="21"/>
      <c r="J18" s="21"/>
      <c r="K18" s="21"/>
      <c r="U18" s="21"/>
      <c r="V18" s="21"/>
      <c r="W18" s="21"/>
      <c r="AA18" s="21"/>
    </row>
    <row r="19" spans="1:32" ht="28.25" customHeight="1" x14ac:dyDescent="0.35">
      <c r="B19" s="26" t="s">
        <v>52</v>
      </c>
      <c r="H19" s="26" t="s">
        <v>11</v>
      </c>
      <c r="N19" s="26" t="s">
        <v>53</v>
      </c>
      <c r="T19" s="26" t="s">
        <v>54</v>
      </c>
      <c r="Z19" s="29" t="s">
        <v>55</v>
      </c>
      <c r="AA19" s="29"/>
      <c r="AB19" s="29"/>
      <c r="AC19" s="29"/>
      <c r="AD19" s="29"/>
      <c r="AE19" s="29"/>
      <c r="AF19" s="29"/>
    </row>
    <row r="22" spans="1:32" x14ac:dyDescent="0.35">
      <c r="B22" s="28" t="s">
        <v>56</v>
      </c>
    </row>
    <row r="23" spans="1:32" x14ac:dyDescent="0.35">
      <c r="B23" s="28" t="s">
        <v>57</v>
      </c>
    </row>
    <row r="24" spans="1:32" ht="29" x14ac:dyDescent="0.35">
      <c r="B24" s="28" t="s">
        <v>58</v>
      </c>
    </row>
    <row r="25" spans="1:32" ht="29" x14ac:dyDescent="0.35">
      <c r="B25" s="28" t="s">
        <v>64</v>
      </c>
      <c r="H25" s="15"/>
    </row>
    <row r="26" spans="1:32" ht="29" x14ac:dyDescent="0.35">
      <c r="B26" s="28" t="s">
        <v>65</v>
      </c>
    </row>
    <row r="27" spans="1:32" x14ac:dyDescent="0.35">
      <c r="B27" s="28" t="s">
        <v>59</v>
      </c>
    </row>
  </sheetData>
  <sortState ref="A2:AE17">
    <sortCondition descending="1" ref="T2:T17"/>
    <sortCondition descending="1" ref="Z2:Z17"/>
  </sortState>
  <mergeCells count="1">
    <mergeCell ref="Z19:AF19"/>
  </mergeCells>
  <conditionalFormatting sqref="O2:O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:P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Q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:U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:V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:W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:AA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:AB1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:AC1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Acute</vt:lpstr>
      <vt:lpstr>Elective</vt:lpstr>
    </vt:vector>
  </TitlesOfParts>
  <Company>CDHB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Wilson</dc:creator>
  <cp:lastModifiedBy>Bill Wilson</cp:lastModifiedBy>
  <dcterms:created xsi:type="dcterms:W3CDTF">2023-02-01T22:58:09Z</dcterms:created>
  <dcterms:modified xsi:type="dcterms:W3CDTF">2024-04-22T04:11:36Z</dcterms:modified>
</cp:coreProperties>
</file>